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defaultThemeVersion="166925"/>
  <mc:AlternateContent xmlns:mc="http://schemas.openxmlformats.org/markup-compatibility/2006">
    <mc:Choice Requires="x15">
      <x15ac:absPath xmlns:x15ac="http://schemas.microsoft.com/office/spreadsheetml/2010/11/ac" url="/Users/dbanks/Desktop/"/>
    </mc:Choice>
  </mc:AlternateContent>
  <xr:revisionPtr revIDLastSave="0" documentId="13_ncr:1_{07062FD1-A335-F042-9644-215752011C39}" xr6:coauthVersionLast="45" xr6:coauthVersionMax="45" xr10:uidLastSave="{00000000-0000-0000-0000-000000000000}"/>
  <bookViews>
    <workbookView xWindow="0" yWindow="460" windowWidth="32460" windowHeight="15700" xr2:uid="{85C2226C-F6D4-42AE-8EE3-91AF1567E2E6}"/>
  </bookViews>
  <sheets>
    <sheet name="RUC Calculations FY19v21" sheetId="3" r:id="rId1"/>
    <sheet name="2019 MILCON Inflation Table" sheetId="4" r:id="rId2"/>
    <sheet name="Mil Cost Premiums for RUCs" sheetId="5" r:id="rId3"/>
    <sheet name="M&amp;S Selection Business Rule" sheetId="6" r:id="rId4"/>
    <sheet name="2019 Elevator Rule" sheetId="7" r:id="rId5"/>
    <sheet name="Overhead Crane Business Rule" sheetId="8" r:id="rId6"/>
    <sheet name="Fire Sprinkler Business Rule" sheetId="9" r:id="rId7"/>
    <sheet name="Loading Dock Footnote" sheetId="10" r:id="rId8"/>
    <sheet name="Range Business Rules" sheetId="11" r:id="rId9"/>
  </sheets>
  <externalReferences>
    <externalReference r:id="rId10"/>
    <externalReference r:id="rId11"/>
  </externalReferences>
  <definedNames>
    <definedName name="_xlnm._FilterDatabase" localSheetId="2" hidden="1">'Mil Cost Premiums for RUCs'!$A$3:$R$3</definedName>
    <definedName name="_xlnm._FilterDatabase" localSheetId="0" hidden="1">'RUC Calculations FY19v21'!$A$1:$M$5</definedName>
    <definedName name="_ftn1" localSheetId="3">'M&amp;S Selection Business Rule'!$A$15</definedName>
    <definedName name="_ftn2" localSheetId="3">'M&amp;S Selection Business Rule'!$A$16</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1">'2019 MILCON Inflation Table'!$A$1:$F$26</definedName>
    <definedName name="_xlnm.Print_Area" localSheetId="2">'Mil Cost Premiums for RUCs'!$A$1:$R$288</definedName>
    <definedName name="_xlnm.Print_Area" localSheetId="0">'RUC Calculations FY19v21'!$N$886:$S$913</definedName>
    <definedName name="_xlnm.Print_Titles" localSheetId="4">'2019 Elevator Rule'!$1:$2</definedName>
    <definedName name="PRV">'Mil Cost Premiums for RUCs'!$AS$4:$AS$534</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041" i="3" l="1"/>
  <c r="K2042" i="3"/>
  <c r="G2044" i="3"/>
  <c r="K2044" i="3" s="1"/>
  <c r="G2045" i="3"/>
  <c r="K2045" i="3" s="1"/>
  <c r="E2046" i="3"/>
  <c r="G2046" i="3"/>
  <c r="J2051" i="3"/>
  <c r="K3980" i="3"/>
  <c r="J2940" i="3"/>
  <c r="K2936" i="3"/>
  <c r="K2939" i="3" s="1"/>
  <c r="I2373" i="3"/>
  <c r="I2363" i="3"/>
  <c r="I53" i="3"/>
  <c r="I52" i="3"/>
  <c r="K2043" i="3" l="1"/>
  <c r="K2046" i="3"/>
  <c r="K2940" i="3"/>
  <c r="K2047" i="3" l="1"/>
  <c r="K2050" i="3" s="1"/>
  <c r="K2051" i="3" s="1"/>
  <c r="I2286" i="3"/>
  <c r="I2358" i="3"/>
  <c r="I649" i="3"/>
  <c r="I619" i="3"/>
  <c r="I523" i="3"/>
  <c r="K523" i="3" s="1"/>
  <c r="I522" i="3"/>
  <c r="I51" i="3"/>
  <c r="I50" i="3"/>
  <c r="I114" i="3" l="1"/>
  <c r="I93" i="3"/>
  <c r="I103" i="3"/>
  <c r="E4356" i="3" l="1"/>
  <c r="E4320" i="3"/>
  <c r="E4238" i="3"/>
  <c r="I4178" i="3"/>
  <c r="I4177" i="3"/>
  <c r="I4176" i="3"/>
  <c r="I4175" i="3"/>
  <c r="I4109" i="3"/>
  <c r="I4115" i="3"/>
  <c r="I4114" i="3"/>
  <c r="I4112" i="3"/>
  <c r="I4108" i="3"/>
  <c r="I3957" i="3"/>
  <c r="I3956" i="3"/>
  <c r="I3955" i="3"/>
  <c r="I3950" i="3"/>
  <c r="I3949" i="3"/>
  <c r="I3946" i="3"/>
  <c r="I3945" i="3"/>
  <c r="I3944" i="3"/>
  <c r="I3943" i="3"/>
  <c r="I3940" i="3"/>
  <c r="I3939" i="3"/>
  <c r="I3938" i="3"/>
  <c r="I3937" i="3"/>
  <c r="I3936" i="3"/>
  <c r="I3930" i="3"/>
  <c r="I3929" i="3"/>
  <c r="I3928" i="3"/>
  <c r="I3902" i="3"/>
  <c r="I3901" i="3"/>
  <c r="I3900" i="3"/>
  <c r="I3882" i="3"/>
  <c r="I3883" i="3"/>
  <c r="I3881" i="3"/>
  <c r="I3880" i="3"/>
  <c r="G3873" i="3"/>
  <c r="I3874" i="3"/>
  <c r="I3873" i="3"/>
  <c r="I3872" i="3"/>
  <c r="K3851" i="3"/>
  <c r="K3842" i="3"/>
  <c r="I3835" i="3"/>
  <c r="I3834" i="3"/>
  <c r="G3789" i="3"/>
  <c r="I3749" i="3"/>
  <c r="I3748" i="3"/>
  <c r="I3747" i="3"/>
  <c r="E3726" i="3"/>
  <c r="G3718" i="3"/>
  <c r="E3634" i="3"/>
  <c r="E3633" i="3"/>
  <c r="I3624" i="3"/>
  <c r="I3623" i="3"/>
  <c r="I3622" i="3"/>
  <c r="I3621" i="3"/>
  <c r="I3620" i="3"/>
  <c r="I3618" i="3"/>
  <c r="I3617" i="3"/>
  <c r="I3616" i="3"/>
  <c r="I3615" i="3"/>
  <c r="I3614" i="3"/>
  <c r="I3613" i="3"/>
  <c r="I3612" i="3"/>
  <c r="I3611" i="3"/>
  <c r="I3568" i="3"/>
  <c r="I3567" i="3"/>
  <c r="I3566" i="3"/>
  <c r="K3566" i="3" s="1"/>
  <c r="I3556" i="3"/>
  <c r="I3555" i="3"/>
  <c r="I3560" i="3"/>
  <c r="I3559" i="3"/>
  <c r="I3558" i="3"/>
  <c r="I3557" i="3"/>
  <c r="I3541" i="3"/>
  <c r="I3540" i="3"/>
  <c r="K3529" i="3"/>
  <c r="I3506" i="3"/>
  <c r="I3505" i="3"/>
  <c r="I3504" i="3"/>
  <c r="I3503" i="3"/>
  <c r="I3502" i="3"/>
  <c r="I3501" i="3"/>
  <c r="I3485" i="3"/>
  <c r="E3439" i="3"/>
  <c r="K3439" i="3" s="1"/>
  <c r="E3432" i="3"/>
  <c r="K3419" i="3"/>
  <c r="I3385" i="3"/>
  <c r="E3325" i="3"/>
  <c r="K3325" i="3" s="1"/>
  <c r="K3315" i="3"/>
  <c r="E3292" i="3"/>
  <c r="E3290" i="3"/>
  <c r="G3291" i="3"/>
  <c r="G3292" i="3"/>
  <c r="I3272" i="3"/>
  <c r="G3156" i="3"/>
  <c r="I3090" i="3"/>
  <c r="K3090" i="3" s="1"/>
  <c r="I3084" i="3"/>
  <c r="E3040" i="3"/>
  <c r="G2945" i="3"/>
  <c r="K2945" i="3" s="1"/>
  <c r="G2982" i="3"/>
  <c r="I2971" i="3"/>
  <c r="E2971" i="3"/>
  <c r="E2891" i="3"/>
  <c r="L38" i="7"/>
  <c r="K38" i="7"/>
  <c r="J38" i="7"/>
  <c r="G38" i="7"/>
  <c r="H38" i="7" s="1"/>
  <c r="G2763" i="3"/>
  <c r="E2753" i="3"/>
  <c r="E2681" i="3"/>
  <c r="E2680" i="3"/>
  <c r="E2679" i="3"/>
  <c r="E2678" i="3"/>
  <c r="I2669" i="3"/>
  <c r="I2664" i="3"/>
  <c r="I2663" i="3"/>
  <c r="I2662" i="3"/>
  <c r="I2661" i="3"/>
  <c r="E2576" i="3" l="1"/>
  <c r="E2543" i="3"/>
  <c r="K2540" i="3"/>
  <c r="I2447" i="3"/>
  <c r="I2446" i="3"/>
  <c r="I2445" i="3"/>
  <c r="I2444" i="3"/>
  <c r="I2443" i="3"/>
  <c r="I2442" i="3"/>
  <c r="I2441" i="3"/>
  <c r="F2447" i="3"/>
  <c r="F2446" i="3"/>
  <c r="F2445" i="3"/>
  <c r="F2444" i="3"/>
  <c r="F2443" i="3"/>
  <c r="F2442" i="3"/>
  <c r="F2441" i="3"/>
  <c r="G2409" i="3"/>
  <c r="K2373" i="3"/>
  <c r="K2358" i="3"/>
  <c r="F17" i="4"/>
  <c r="L30" i="7"/>
  <c r="K30" i="7"/>
  <c r="J30" i="7"/>
  <c r="G30" i="7"/>
  <c r="H30" i="7" s="1"/>
  <c r="E2327" i="3"/>
  <c r="K2263" i="3"/>
  <c r="K2262" i="3"/>
  <c r="E2209" i="3"/>
  <c r="E2208" i="3"/>
  <c r="E2207" i="3"/>
  <c r="E2206" i="3"/>
  <c r="H2204" i="3"/>
  <c r="I2198" i="3"/>
  <c r="I2193" i="3"/>
  <c r="K2171" i="3"/>
  <c r="K2140" i="3"/>
  <c r="I2152" i="3"/>
  <c r="K2152" i="3" s="1"/>
  <c r="I2147" i="3"/>
  <c r="K2147" i="3" s="1"/>
  <c r="K2129" i="3"/>
  <c r="K2103" i="3"/>
  <c r="G2088" i="3"/>
  <c r="K2088" i="3" s="1"/>
  <c r="I2083" i="3"/>
  <c r="E2065" i="3" l="1"/>
  <c r="I2060" i="3"/>
  <c r="K2060" i="3" s="1"/>
  <c r="I2011" i="3"/>
  <c r="E1991" i="3"/>
  <c r="E1987" i="3"/>
  <c r="E1986" i="3"/>
  <c r="E1959" i="3"/>
  <c r="E1958" i="3"/>
  <c r="E1957" i="3"/>
  <c r="K1935" i="3"/>
  <c r="E1927" i="3"/>
  <c r="K1878" i="3"/>
  <c r="G1842" i="3"/>
  <c r="G1841" i="3"/>
  <c r="K1853" i="3"/>
  <c r="G1823" i="3"/>
  <c r="E1820" i="3"/>
  <c r="G1541" i="3"/>
  <c r="I1541" i="3"/>
  <c r="K1541" i="3" s="1"/>
  <c r="I1793" i="3"/>
  <c r="G1793" i="3"/>
  <c r="G1794" i="3"/>
  <c r="E1797" i="3"/>
  <c r="E1796" i="3"/>
  <c r="E1761" i="3"/>
  <c r="K1766" i="3"/>
  <c r="K1754" i="3"/>
  <c r="E1749" i="3"/>
  <c r="K1732" i="3"/>
  <c r="K1710" i="3"/>
  <c r="J1698" i="3" l="1"/>
  <c r="I1661" i="3"/>
  <c r="E1685" i="3"/>
  <c r="E1675" i="3"/>
  <c r="I1667" i="3"/>
  <c r="I1668" i="3"/>
  <c r="I1669" i="3"/>
  <c r="I1666" i="3"/>
  <c r="E1670" i="3"/>
  <c r="G1669" i="3" s="1"/>
  <c r="E1652" i="3"/>
  <c r="E1649" i="3"/>
  <c r="E1640" i="3"/>
  <c r="E1635" i="3"/>
  <c r="E1614" i="3"/>
  <c r="E1613" i="3"/>
  <c r="E1609" i="3"/>
  <c r="E1588" i="3"/>
  <c r="E1577" i="3"/>
  <c r="I1272" i="3"/>
  <c r="K1272" i="3" s="1"/>
  <c r="G1667" i="3" l="1"/>
  <c r="E1566" i="3"/>
  <c r="E1547" i="3"/>
  <c r="E1546" i="3"/>
  <c r="E1544" i="3"/>
  <c r="E1545" i="3"/>
  <c r="K1502" i="3"/>
  <c r="I1492" i="3"/>
  <c r="K1492" i="3" s="1"/>
  <c r="I1487" i="3"/>
  <c r="K1487" i="3" s="1"/>
  <c r="I1482" i="3"/>
  <c r="K1482" i="3" s="1"/>
  <c r="I4409" i="3" l="1"/>
  <c r="I4408" i="3"/>
  <c r="E4411" i="3"/>
  <c r="G4406" i="3" l="1"/>
  <c r="I4412" i="3"/>
  <c r="I4411" i="3"/>
  <c r="I4410" i="3"/>
  <c r="I4407" i="3"/>
  <c r="I4406" i="3"/>
  <c r="I4405" i="3"/>
  <c r="I1370" i="3"/>
  <c r="K1370" i="3" s="1"/>
  <c r="I1365" i="3"/>
  <c r="I1364" i="3"/>
  <c r="I1358" i="3"/>
  <c r="K1358" i="3" s="1"/>
  <c r="K4412" i="3" l="1"/>
  <c r="I1333" i="3"/>
  <c r="I1306" i="3"/>
  <c r="K1306" i="3" s="1"/>
  <c r="E3201" i="3"/>
  <c r="G3201" i="3" s="1"/>
  <c r="K3201" i="3" s="1"/>
  <c r="E277" i="3"/>
  <c r="I292" i="3"/>
  <c r="I291" i="3"/>
  <c r="I290" i="3"/>
  <c r="I272" i="3" l="1"/>
  <c r="I271" i="3"/>
  <c r="I270" i="3"/>
  <c r="I247" i="3"/>
  <c r="I246" i="3"/>
  <c r="J240" i="3" l="1"/>
  <c r="I235" i="3"/>
  <c r="I198" i="3"/>
  <c r="I230" i="3"/>
  <c r="I229" i="3"/>
  <c r="I228" i="3"/>
  <c r="I227" i="3"/>
  <c r="I226" i="3"/>
  <c r="I225" i="3"/>
  <c r="I224" i="3"/>
  <c r="I223" i="3"/>
  <c r="I113" i="3"/>
  <c r="K113" i="3" s="1"/>
  <c r="S889" i="3" l="1"/>
  <c r="S890" i="3"/>
  <c r="J568" i="3" s="1"/>
  <c r="S891" i="3"/>
  <c r="J626" i="3" s="1"/>
  <c r="S892" i="3"/>
  <c r="J641" i="3" s="1"/>
  <c r="S893" i="3"/>
  <c r="J642" i="3" s="1"/>
  <c r="S894" i="3"/>
  <c r="J649" i="3" s="1"/>
  <c r="S895" i="3"/>
  <c r="J564" i="3" s="1"/>
  <c r="S896" i="3"/>
  <c r="J643" i="3" s="1"/>
  <c r="S897" i="3"/>
  <c r="J590" i="3" s="1"/>
  <c r="S899" i="3"/>
  <c r="J646" i="3" s="1"/>
  <c r="S900" i="3"/>
  <c r="J566" i="3" s="1"/>
  <c r="S901" i="3"/>
  <c r="J567" i="3" s="1"/>
  <c r="S902" i="3"/>
  <c r="J603" i="3" s="1"/>
  <c r="S903" i="3"/>
  <c r="J644" i="3" s="1"/>
  <c r="S904" i="3"/>
  <c r="J645" i="3" s="1"/>
  <c r="S905" i="3"/>
  <c r="S906" i="3"/>
  <c r="J554" i="3" s="1"/>
  <c r="S907" i="3"/>
  <c r="S888" i="3"/>
  <c r="J555" i="3" l="1"/>
  <c r="J592" i="3"/>
  <c r="J630" i="3"/>
  <c r="J627" i="3"/>
  <c r="J602" i="3"/>
  <c r="J539" i="3"/>
  <c r="J540" i="3"/>
  <c r="J563" i="3"/>
  <c r="J639" i="3"/>
  <c r="J591" i="3"/>
  <c r="J629" i="3"/>
  <c r="J580" i="3"/>
  <c r="J613" i="3"/>
  <c r="J576" i="3"/>
  <c r="J614" i="3"/>
  <c r="J577" i="3"/>
  <c r="J615" i="3"/>
  <c r="J579" i="3"/>
  <c r="J617" i="3"/>
  <c r="J553" i="3"/>
  <c r="J593" i="3"/>
  <c r="J601" i="3"/>
  <c r="J541" i="3"/>
  <c r="J647" i="3"/>
  <c r="J628" i="3"/>
  <c r="J542" i="3"/>
  <c r="J581" i="3"/>
  <c r="J618" i="3"/>
  <c r="J640" i="3"/>
  <c r="J648" i="3"/>
  <c r="J565" i="3"/>
  <c r="J543" i="3"/>
  <c r="J589" i="3"/>
  <c r="J611" i="3"/>
  <c r="J619" i="3"/>
  <c r="J578" i="3"/>
  <c r="J616" i="3"/>
  <c r="J612" i="3"/>
  <c r="J19" i="7" l="1"/>
  <c r="G19" i="7"/>
  <c r="H19" i="7" s="1"/>
  <c r="K19" i="7" s="1"/>
  <c r="L19" i="7" s="1"/>
  <c r="E1839" i="3"/>
  <c r="K1774" i="3"/>
  <c r="K1783" i="3"/>
  <c r="I12" i="7" l="1"/>
  <c r="J11" i="7"/>
  <c r="K11" i="7" s="1"/>
  <c r="L11" i="7" s="1"/>
  <c r="G11" i="7"/>
  <c r="H11" i="7"/>
  <c r="E1249" i="3"/>
  <c r="J10" i="7"/>
  <c r="G10" i="7"/>
  <c r="H10" i="7" s="1"/>
  <c r="K10" i="7" s="1"/>
  <c r="L10" i="7" s="1"/>
  <c r="I1154" i="3"/>
  <c r="K1154" i="3" s="1"/>
  <c r="E1129" i="3"/>
  <c r="R911" i="3" l="1"/>
  <c r="R913" i="3"/>
  <c r="R909" i="3"/>
  <c r="R908" i="3"/>
  <c r="R910" i="3"/>
  <c r="R912" i="3"/>
  <c r="I546" i="3" s="1"/>
  <c r="I516" i="3" l="1"/>
  <c r="I506" i="3"/>
  <c r="I504" i="3"/>
  <c r="I503" i="3"/>
  <c r="I502" i="3"/>
  <c r="I480" i="3"/>
  <c r="I445" i="3"/>
  <c r="I372" i="3"/>
  <c r="I371" i="3"/>
  <c r="I370" i="3"/>
  <c r="I369" i="3"/>
  <c r="J4251" i="3"/>
  <c r="J4285" i="3"/>
  <c r="R253" i="5"/>
  <c r="K4247" i="3"/>
  <c r="K4250" i="3" s="1"/>
  <c r="I328" i="3"/>
  <c r="I329" i="3"/>
  <c r="I330" i="3"/>
  <c r="K330" i="3" s="1"/>
  <c r="I327" i="3"/>
  <c r="K4251" i="3" l="1"/>
  <c r="K103" i="3" l="1"/>
  <c r="I83" i="3"/>
  <c r="K83" i="3" s="1"/>
  <c r="F21" i="4" l="1"/>
  <c r="F20" i="4"/>
  <c r="F19" i="4"/>
  <c r="F18" i="4"/>
  <c r="F16" i="4"/>
  <c r="F5" i="4"/>
  <c r="F6" i="4"/>
  <c r="F7" i="4"/>
  <c r="F8" i="4"/>
  <c r="F9" i="4"/>
  <c r="F10" i="4"/>
  <c r="F11" i="4"/>
  <c r="F12" i="4"/>
  <c r="F13" i="4"/>
  <c r="F14" i="4"/>
  <c r="F15" i="4"/>
  <c r="F4" i="4"/>
  <c r="G173" i="3" l="1"/>
  <c r="K173" i="3" s="1"/>
  <c r="J53" i="3" l="1"/>
  <c r="K53" i="3" s="1"/>
  <c r="J52" i="3"/>
  <c r="K52" i="3" s="1"/>
  <c r="E1529" i="3" l="1"/>
  <c r="E1507" i="3" l="1"/>
  <c r="E1455" i="3"/>
  <c r="E1432" i="3"/>
  <c r="E1451" i="3"/>
  <c r="E1427" i="3"/>
  <c r="E1418" i="3"/>
  <c r="E1413" i="3"/>
  <c r="E1402" i="3"/>
  <c r="E1382" i="3"/>
  <c r="E1381" i="3"/>
  <c r="E1380" i="3"/>
  <c r="E1379" i="3"/>
  <c r="E1384" i="3"/>
  <c r="E1375" i="3"/>
  <c r="E1278" i="3" l="1"/>
  <c r="E1277" i="3"/>
  <c r="E1276" i="3"/>
  <c r="E1275" i="3"/>
  <c r="E1271" i="3" l="1"/>
  <c r="E1259" i="3" l="1"/>
  <c r="E1258" i="3"/>
  <c r="E1257" i="3"/>
  <c r="E1256" i="3"/>
  <c r="E1252" i="3"/>
  <c r="E1238" i="3"/>
  <c r="E1218" i="3" l="1"/>
  <c r="E1217" i="3"/>
  <c r="E1216" i="3"/>
  <c r="E1215" i="3"/>
  <c r="E1211" i="3"/>
  <c r="E1208" i="3"/>
  <c r="E1189" i="3" l="1"/>
  <c r="E1188" i="3"/>
  <c r="E1187" i="3"/>
  <c r="E1186" i="3"/>
  <c r="E1182" i="3"/>
  <c r="E1179" i="3"/>
  <c r="E1134" i="3"/>
  <c r="E1128" i="3"/>
  <c r="E1113" i="3"/>
  <c r="E1070" i="3"/>
  <c r="E1063" i="3"/>
  <c r="I1063" i="3"/>
  <c r="I1062" i="3"/>
  <c r="E1061" i="3"/>
  <c r="I1061" i="3"/>
  <c r="E406" i="3"/>
  <c r="E405" i="3"/>
  <c r="E417" i="3"/>
  <c r="E416" i="3"/>
  <c r="E415" i="3"/>
  <c r="E386" i="3"/>
  <c r="P905" i="3" l="1"/>
  <c r="P892" i="3"/>
  <c r="P891" i="3"/>
  <c r="P890" i="3"/>
  <c r="E665" i="3" s="1"/>
  <c r="E361" i="3" l="1"/>
  <c r="K361" i="3" s="1"/>
  <c r="K279" i="3"/>
  <c r="E278" i="3" l="1"/>
  <c r="K277" i="3"/>
  <c r="E172" i="3"/>
  <c r="G172" i="3" s="1"/>
  <c r="E171" i="3"/>
  <c r="G171" i="3" s="1"/>
  <c r="E170" i="3"/>
  <c r="G170" i="3" s="1"/>
  <c r="E169" i="3"/>
  <c r="G169" i="3" s="1"/>
  <c r="K169" i="3" s="1"/>
  <c r="E75" i="3"/>
  <c r="E19" i="3" l="1"/>
  <c r="E2448" i="3" l="1"/>
  <c r="G3634" i="3"/>
  <c r="K3634" i="3" s="1"/>
  <c r="G3633" i="3"/>
  <c r="K3633" i="3" s="1"/>
  <c r="K3477" i="3"/>
  <c r="G729" i="3"/>
  <c r="Q125" i="5" l="1"/>
  <c r="P125" i="5"/>
  <c r="O125" i="5"/>
  <c r="N125" i="5"/>
  <c r="M125" i="5"/>
  <c r="L125" i="5"/>
  <c r="K125" i="5"/>
  <c r="J125" i="5"/>
  <c r="I125" i="5"/>
  <c r="H125" i="5"/>
  <c r="G125" i="5"/>
  <c r="F125" i="5"/>
  <c r="E125" i="5"/>
  <c r="K2410" i="3"/>
  <c r="K2408" i="3"/>
  <c r="K2409" i="3" s="1"/>
  <c r="J422" i="3"/>
  <c r="F23" i="5"/>
  <c r="R23" i="5" s="1"/>
  <c r="G417" i="3"/>
  <c r="K417" i="3" s="1"/>
  <c r="K416" i="3"/>
  <c r="K415" i="3"/>
  <c r="I43" i="7"/>
  <c r="J43" i="7" s="1"/>
  <c r="G43" i="7"/>
  <c r="H43" i="7" s="1"/>
  <c r="I42" i="7"/>
  <c r="J42" i="7" s="1"/>
  <c r="G42" i="7"/>
  <c r="H42" i="7" s="1"/>
  <c r="I41" i="7"/>
  <c r="J41" i="7" s="1"/>
  <c r="G41" i="7"/>
  <c r="H41" i="7" s="1"/>
  <c r="I40" i="7"/>
  <c r="J40" i="7" s="1"/>
  <c r="G40" i="7"/>
  <c r="H40" i="7" s="1"/>
  <c r="I39" i="7"/>
  <c r="J39" i="7" s="1"/>
  <c r="G39" i="7"/>
  <c r="H39" i="7" s="1"/>
  <c r="I37" i="7"/>
  <c r="J37" i="7" s="1"/>
  <c r="G37" i="7"/>
  <c r="H37" i="7" s="1"/>
  <c r="I36" i="7"/>
  <c r="J36" i="7" s="1"/>
  <c r="G36" i="7"/>
  <c r="H36" i="7" s="1"/>
  <c r="J35" i="7"/>
  <c r="G35" i="7"/>
  <c r="H35" i="7" s="1"/>
  <c r="J34" i="7"/>
  <c r="G34" i="7"/>
  <c r="H34" i="7" s="1"/>
  <c r="I33" i="7"/>
  <c r="J33" i="7" s="1"/>
  <c r="G33" i="7"/>
  <c r="H33" i="7" s="1"/>
  <c r="I32" i="7"/>
  <c r="J32" i="7" s="1"/>
  <c r="G32" i="7"/>
  <c r="H32" i="7" s="1"/>
  <c r="J31" i="7"/>
  <c r="G31" i="7"/>
  <c r="H31" i="7" s="1"/>
  <c r="J29" i="7"/>
  <c r="G29" i="7"/>
  <c r="H29" i="7" s="1"/>
  <c r="I28" i="7"/>
  <c r="J28" i="7" s="1"/>
  <c r="G28" i="7"/>
  <c r="H28" i="7" s="1"/>
  <c r="I27" i="7"/>
  <c r="J27" i="7" s="1"/>
  <c r="G27" i="7"/>
  <c r="H27" i="7" s="1"/>
  <c r="I26" i="7"/>
  <c r="J26" i="7" s="1"/>
  <c r="G26" i="7"/>
  <c r="H26" i="7" s="1"/>
  <c r="I25" i="7"/>
  <c r="J25" i="7" s="1"/>
  <c r="G25" i="7"/>
  <c r="H25" i="7" s="1"/>
  <c r="I24" i="7"/>
  <c r="J24" i="7" s="1"/>
  <c r="G24" i="7"/>
  <c r="H24" i="7" s="1"/>
  <c r="I23" i="7"/>
  <c r="J23" i="7" s="1"/>
  <c r="G23" i="7"/>
  <c r="H23" i="7" s="1"/>
  <c r="J22" i="7"/>
  <c r="G22" i="7"/>
  <c r="H22" i="7" s="1"/>
  <c r="J21" i="7"/>
  <c r="G21" i="7"/>
  <c r="H21" i="7" s="1"/>
  <c r="I20" i="7"/>
  <c r="J20" i="7" s="1"/>
  <c r="G20" i="7"/>
  <c r="H20" i="7" s="1"/>
  <c r="J18" i="7"/>
  <c r="G18" i="7"/>
  <c r="H18" i="7" s="1"/>
  <c r="J17" i="7"/>
  <c r="G17" i="7"/>
  <c r="H17" i="7" s="1"/>
  <c r="I16" i="7"/>
  <c r="J16" i="7" s="1"/>
  <c r="G16" i="7"/>
  <c r="H16" i="7" s="1"/>
  <c r="I15" i="7"/>
  <c r="J15" i="7" s="1"/>
  <c r="G15" i="7"/>
  <c r="H15" i="7" s="1"/>
  <c r="I14" i="7"/>
  <c r="J14" i="7" s="1"/>
  <c r="G14" i="7"/>
  <c r="H14" i="7" s="1"/>
  <c r="I13" i="7"/>
  <c r="J13" i="7" s="1"/>
  <c r="G13" i="7"/>
  <c r="H13" i="7" s="1"/>
  <c r="J12" i="7"/>
  <c r="G12" i="7"/>
  <c r="H12" i="7" s="1"/>
  <c r="I9" i="7"/>
  <c r="J9" i="7" s="1"/>
  <c r="G9" i="7"/>
  <c r="H9" i="7" s="1"/>
  <c r="I8" i="7"/>
  <c r="J8" i="7" s="1"/>
  <c r="G8" i="7"/>
  <c r="H8" i="7" s="1"/>
  <c r="I7" i="7"/>
  <c r="J7" i="7" s="1"/>
  <c r="G7" i="7"/>
  <c r="H7" i="7" s="1"/>
  <c r="I6" i="7"/>
  <c r="J6" i="7" s="1"/>
  <c r="G6" i="7"/>
  <c r="H6" i="7" s="1"/>
  <c r="J5" i="7"/>
  <c r="G5" i="7"/>
  <c r="H5" i="7" s="1"/>
  <c r="J4" i="7"/>
  <c r="G4" i="7"/>
  <c r="H4" i="7" s="1"/>
  <c r="J3" i="7"/>
  <c r="G3" i="7"/>
  <c r="H3" i="7" s="1"/>
  <c r="F266" i="5"/>
  <c r="R266" i="5" s="1"/>
  <c r="J4418" i="3" s="1"/>
  <c r="Q265" i="5"/>
  <c r="P265" i="5"/>
  <c r="F265" i="5"/>
  <c r="Q264" i="5"/>
  <c r="P264" i="5"/>
  <c r="F264" i="5"/>
  <c r="R264" i="5" s="1"/>
  <c r="J4380" i="3" s="1"/>
  <c r="Q263" i="5"/>
  <c r="P263" i="5"/>
  <c r="F263" i="5"/>
  <c r="F262" i="5"/>
  <c r="R262" i="5" s="1"/>
  <c r="F261" i="5"/>
  <c r="R261" i="5" s="1"/>
  <c r="J4360" i="3" s="1"/>
  <c r="F260" i="5"/>
  <c r="R260" i="5" s="1"/>
  <c r="J4352" i="3" s="1"/>
  <c r="N259" i="5"/>
  <c r="G259" i="5"/>
  <c r="F259" i="5"/>
  <c r="R259" i="5" s="1"/>
  <c r="J4332" i="3" s="1"/>
  <c r="N258" i="5"/>
  <c r="F258" i="5"/>
  <c r="R258" i="5" s="1"/>
  <c r="J4311" i="3" s="1"/>
  <c r="N257" i="5"/>
  <c r="R257" i="5" s="1"/>
  <c r="J4301" i="3" s="1"/>
  <c r="F257" i="5"/>
  <c r="F256" i="5"/>
  <c r="R256" i="5" s="1"/>
  <c r="J4293" i="3" s="1"/>
  <c r="Q255" i="5"/>
  <c r="P255" i="5"/>
  <c r="G255" i="5"/>
  <c r="F255" i="5"/>
  <c r="R255" i="5" s="1"/>
  <c r="Q254" i="5"/>
  <c r="P254" i="5"/>
  <c r="N254" i="5"/>
  <c r="J254" i="5"/>
  <c r="H254" i="5"/>
  <c r="G254" i="5"/>
  <c r="F254" i="5"/>
  <c r="Q252" i="5"/>
  <c r="P252" i="5"/>
  <c r="F252" i="5"/>
  <c r="Q251" i="5"/>
  <c r="P251" i="5"/>
  <c r="F251" i="5"/>
  <c r="Q250" i="5"/>
  <c r="P250" i="5"/>
  <c r="F250" i="5"/>
  <c r="R250" i="5" s="1"/>
  <c r="J4195" i="3" s="1"/>
  <c r="R249" i="5"/>
  <c r="J4171" i="3" s="1"/>
  <c r="F249" i="5"/>
  <c r="F248" i="5"/>
  <c r="R248" i="5" s="1"/>
  <c r="J4157" i="3" s="1"/>
  <c r="Q247" i="5"/>
  <c r="P247" i="5"/>
  <c r="F247" i="5"/>
  <c r="R247" i="5" s="1"/>
  <c r="J4147" i="3" s="1"/>
  <c r="Q246" i="5"/>
  <c r="P246" i="5"/>
  <c r="F246" i="5"/>
  <c r="Q245" i="5"/>
  <c r="P245" i="5"/>
  <c r="G245" i="5"/>
  <c r="F245" i="5"/>
  <c r="Q244" i="5"/>
  <c r="P244" i="5"/>
  <c r="G244" i="5"/>
  <c r="F244" i="5"/>
  <c r="Q243" i="5"/>
  <c r="P243" i="5"/>
  <c r="F243" i="5"/>
  <c r="Q242" i="5"/>
  <c r="P242" i="5"/>
  <c r="F242" i="5"/>
  <c r="Q241" i="5"/>
  <c r="P241" i="5"/>
  <c r="F241" i="5"/>
  <c r="F240" i="5"/>
  <c r="R240" i="5" s="1"/>
  <c r="J4047" i="3" s="1"/>
  <c r="Q239" i="5"/>
  <c r="P239" i="5"/>
  <c r="G239" i="5"/>
  <c r="F239" i="5"/>
  <c r="F238" i="5"/>
  <c r="R238" i="5" s="1"/>
  <c r="J4018" i="3" s="1"/>
  <c r="Q237" i="5"/>
  <c r="P237" i="5"/>
  <c r="G237" i="5"/>
  <c r="F237" i="5"/>
  <c r="Q236" i="5"/>
  <c r="P236" i="5"/>
  <c r="G236" i="5"/>
  <c r="F236" i="5"/>
  <c r="Q235" i="5"/>
  <c r="P235" i="5"/>
  <c r="G235" i="5"/>
  <c r="F235" i="5"/>
  <c r="Q234" i="5"/>
  <c r="P234" i="5"/>
  <c r="G234" i="5"/>
  <c r="F234" i="5"/>
  <c r="Q233" i="5"/>
  <c r="P233" i="5"/>
  <c r="F233" i="5"/>
  <c r="Q232" i="5"/>
  <c r="P232" i="5"/>
  <c r="F232" i="5"/>
  <c r="R232" i="5" s="1"/>
  <c r="J3913" i="3" s="1"/>
  <c r="Q231" i="5"/>
  <c r="P231" i="5"/>
  <c r="F231" i="5"/>
  <c r="Q230" i="5"/>
  <c r="P230" i="5"/>
  <c r="F230" i="5"/>
  <c r="Q229" i="5"/>
  <c r="P229" i="5"/>
  <c r="G229" i="5"/>
  <c r="F229" i="5"/>
  <c r="F228" i="5"/>
  <c r="R228" i="5" s="1"/>
  <c r="J3847" i="3" s="1"/>
  <c r="Q227" i="5"/>
  <c r="P227" i="5"/>
  <c r="F227" i="5"/>
  <c r="Q226" i="5"/>
  <c r="P226" i="5"/>
  <c r="G226" i="5"/>
  <c r="F226" i="5"/>
  <c r="Q225" i="5"/>
  <c r="P225" i="5"/>
  <c r="G225" i="5"/>
  <c r="F225" i="5"/>
  <c r="Q224" i="5"/>
  <c r="P224" i="5"/>
  <c r="G224" i="5"/>
  <c r="F224" i="5"/>
  <c r="Q223" i="5"/>
  <c r="P223" i="5"/>
  <c r="G223" i="5"/>
  <c r="F223" i="5"/>
  <c r="G222" i="5"/>
  <c r="F222" i="5"/>
  <c r="R222" i="5" s="1"/>
  <c r="J3783" i="3" s="1"/>
  <c r="Q221" i="5"/>
  <c r="P221" i="5"/>
  <c r="F221" i="5"/>
  <c r="Q220" i="5"/>
  <c r="P220" i="5"/>
  <c r="F220" i="5"/>
  <c r="Q219" i="5"/>
  <c r="P219" i="5"/>
  <c r="F219" i="5"/>
  <c r="Q218" i="5"/>
  <c r="P218" i="5"/>
  <c r="G218" i="5"/>
  <c r="F218" i="5"/>
  <c r="Q217" i="5"/>
  <c r="P217" i="5"/>
  <c r="G217" i="5"/>
  <c r="F217" i="5"/>
  <c r="Q216" i="5"/>
  <c r="P216" i="5"/>
  <c r="G216" i="5"/>
  <c r="F216" i="5"/>
  <c r="Q215" i="5"/>
  <c r="P215" i="5"/>
  <c r="F215" i="5"/>
  <c r="R215" i="5" s="1"/>
  <c r="J3688" i="3" s="1"/>
  <c r="Q214" i="5"/>
  <c r="P214" i="5"/>
  <c r="F214" i="5"/>
  <c r="Q213" i="5"/>
  <c r="P213" i="5"/>
  <c r="F213" i="5"/>
  <c r="Q212" i="5"/>
  <c r="P212" i="5"/>
  <c r="F212" i="5"/>
  <c r="R212" i="5" s="1"/>
  <c r="J3647" i="3" s="1"/>
  <c r="Q211" i="5"/>
  <c r="P211" i="5"/>
  <c r="F211" i="5"/>
  <c r="Q210" i="5"/>
  <c r="P210" i="5"/>
  <c r="F210" i="5"/>
  <c r="Q209" i="5"/>
  <c r="P209" i="5"/>
  <c r="F209" i="5"/>
  <c r="Q208" i="5"/>
  <c r="P208" i="5"/>
  <c r="F208" i="5"/>
  <c r="Q207" i="5"/>
  <c r="P207" i="5"/>
  <c r="G207" i="5"/>
  <c r="F207" i="5"/>
  <c r="Q206" i="5"/>
  <c r="P206" i="5"/>
  <c r="G206" i="5"/>
  <c r="F206" i="5"/>
  <c r="Q205" i="5"/>
  <c r="P205" i="5"/>
  <c r="G205" i="5"/>
  <c r="F205" i="5"/>
  <c r="R204" i="5"/>
  <c r="J3497" i="3" s="1"/>
  <c r="Q204" i="5"/>
  <c r="P204" i="5"/>
  <c r="F204" i="5"/>
  <c r="Q203" i="5"/>
  <c r="P203" i="5"/>
  <c r="G203" i="5"/>
  <c r="F203" i="5"/>
  <c r="Q202" i="5"/>
  <c r="P202" i="5"/>
  <c r="O202" i="5"/>
  <c r="N202" i="5"/>
  <c r="M202" i="5"/>
  <c r="L202" i="5"/>
  <c r="K202" i="5"/>
  <c r="J202" i="5"/>
  <c r="I202" i="5"/>
  <c r="H202" i="5"/>
  <c r="G202" i="5"/>
  <c r="F202" i="5"/>
  <c r="E202" i="5"/>
  <c r="G201" i="5"/>
  <c r="F201" i="5"/>
  <c r="G200" i="5"/>
  <c r="R200" i="5" s="1"/>
  <c r="J3423" i="3" s="1"/>
  <c r="F200" i="5"/>
  <c r="G199" i="5"/>
  <c r="F199" i="5"/>
  <c r="F198" i="5"/>
  <c r="R198" i="5" s="1"/>
  <c r="J3406" i="3" s="1"/>
  <c r="Q197" i="5"/>
  <c r="P197" i="5"/>
  <c r="G197" i="5"/>
  <c r="F197" i="5"/>
  <c r="G196" i="5"/>
  <c r="R196" i="5" s="1"/>
  <c r="F196" i="5"/>
  <c r="F195" i="5"/>
  <c r="R195" i="5" s="1"/>
  <c r="J3381" i="3" s="1"/>
  <c r="Q194" i="5"/>
  <c r="P194" i="5"/>
  <c r="G194" i="5"/>
  <c r="F194" i="5"/>
  <c r="R193" i="5"/>
  <c r="J3356" i="3" s="1"/>
  <c r="F193" i="5"/>
  <c r="F192" i="5"/>
  <c r="R192" i="5" s="1"/>
  <c r="Q191" i="5"/>
  <c r="P191" i="5"/>
  <c r="F191" i="5"/>
  <c r="Q190" i="5"/>
  <c r="P190" i="5"/>
  <c r="G190" i="5"/>
  <c r="F190" i="5"/>
  <c r="Q189" i="5"/>
  <c r="P189" i="5"/>
  <c r="G189" i="5"/>
  <c r="F189" i="5"/>
  <c r="Q188" i="5"/>
  <c r="P188" i="5"/>
  <c r="N188" i="5"/>
  <c r="L188" i="5"/>
  <c r="G188" i="5"/>
  <c r="F188" i="5"/>
  <c r="Q187" i="5"/>
  <c r="P187" i="5"/>
  <c r="O187" i="5"/>
  <c r="N187" i="5"/>
  <c r="M187" i="5"/>
  <c r="L187" i="5"/>
  <c r="K187" i="5"/>
  <c r="J187" i="5"/>
  <c r="I187" i="5"/>
  <c r="H187" i="5"/>
  <c r="G187" i="5"/>
  <c r="F187" i="5"/>
  <c r="E187" i="5"/>
  <c r="Q186" i="5"/>
  <c r="P186" i="5"/>
  <c r="N186" i="5"/>
  <c r="L186" i="5"/>
  <c r="G186" i="5"/>
  <c r="F186" i="5"/>
  <c r="F185" i="5"/>
  <c r="R185" i="5" s="1"/>
  <c r="J3268" i="3" s="1"/>
  <c r="R184" i="5"/>
  <c r="J3258" i="3" s="1"/>
  <c r="F184" i="5"/>
  <c r="F183" i="5"/>
  <c r="R183" i="5" s="1"/>
  <c r="J182" i="5"/>
  <c r="I182" i="5"/>
  <c r="H182" i="5"/>
  <c r="F182" i="5"/>
  <c r="Q181" i="5"/>
  <c r="P181" i="5"/>
  <c r="N181" i="5"/>
  <c r="J181" i="5"/>
  <c r="G181" i="5"/>
  <c r="F181" i="5"/>
  <c r="Q179" i="5"/>
  <c r="P179" i="5"/>
  <c r="O179" i="5"/>
  <c r="N179" i="5"/>
  <c r="M179" i="5"/>
  <c r="K179" i="5"/>
  <c r="J179" i="5"/>
  <c r="I179" i="5"/>
  <c r="H179" i="5"/>
  <c r="G179" i="5"/>
  <c r="F179" i="5"/>
  <c r="E179" i="5"/>
  <c r="Q178" i="5"/>
  <c r="P178" i="5"/>
  <c r="O178" i="5"/>
  <c r="N178" i="5"/>
  <c r="L178" i="5"/>
  <c r="J178" i="5"/>
  <c r="I178" i="5"/>
  <c r="H178" i="5"/>
  <c r="G178" i="5"/>
  <c r="F178" i="5"/>
  <c r="Q177" i="5"/>
  <c r="P177" i="5"/>
  <c r="O177" i="5"/>
  <c r="N177" i="5"/>
  <c r="J177" i="5"/>
  <c r="I177" i="5"/>
  <c r="H177" i="5"/>
  <c r="G177" i="5"/>
  <c r="F177" i="5"/>
  <c r="Q176" i="5"/>
  <c r="P176" i="5"/>
  <c r="O176" i="5"/>
  <c r="N176" i="5"/>
  <c r="M176" i="5"/>
  <c r="L176" i="5"/>
  <c r="J176" i="5"/>
  <c r="I176" i="5"/>
  <c r="H176" i="5"/>
  <c r="G176" i="5"/>
  <c r="F176" i="5"/>
  <c r="E176" i="5"/>
  <c r="Q175" i="5"/>
  <c r="P175" i="5"/>
  <c r="O175" i="5"/>
  <c r="N175" i="5"/>
  <c r="M175" i="5"/>
  <c r="L175" i="5"/>
  <c r="K175" i="5"/>
  <c r="J175" i="5"/>
  <c r="I175" i="5"/>
  <c r="H175" i="5"/>
  <c r="G175" i="5"/>
  <c r="F175" i="5"/>
  <c r="E175" i="5"/>
  <c r="Q174" i="5"/>
  <c r="P174" i="5"/>
  <c r="O174" i="5"/>
  <c r="N174" i="5"/>
  <c r="M174" i="5"/>
  <c r="J174" i="5"/>
  <c r="I174" i="5"/>
  <c r="H174" i="5"/>
  <c r="G174" i="5"/>
  <c r="F174" i="5"/>
  <c r="E174" i="5"/>
  <c r="O173" i="5"/>
  <c r="N173" i="5"/>
  <c r="M173" i="5"/>
  <c r="L173" i="5"/>
  <c r="K173" i="5"/>
  <c r="J173" i="5"/>
  <c r="I173" i="5"/>
  <c r="H173" i="5"/>
  <c r="G173" i="5"/>
  <c r="F173" i="5"/>
  <c r="E173" i="5"/>
  <c r="Q172" i="5"/>
  <c r="P172" i="5"/>
  <c r="O172" i="5"/>
  <c r="N172" i="5"/>
  <c r="M172" i="5"/>
  <c r="L172" i="5"/>
  <c r="K172" i="5"/>
  <c r="J172" i="5"/>
  <c r="I172" i="5"/>
  <c r="H172" i="5"/>
  <c r="G172" i="5"/>
  <c r="F172" i="5"/>
  <c r="E172" i="5"/>
  <c r="H171" i="5"/>
  <c r="F171" i="5"/>
  <c r="F170" i="5"/>
  <c r="R170" i="5" s="1"/>
  <c r="R169" i="5"/>
  <c r="J3080" i="3" s="1"/>
  <c r="F169" i="5"/>
  <c r="Q168" i="5"/>
  <c r="P168" i="5"/>
  <c r="O168" i="5"/>
  <c r="N168" i="5"/>
  <c r="M168" i="5"/>
  <c r="L168" i="5"/>
  <c r="K168" i="5"/>
  <c r="J168" i="5"/>
  <c r="I168" i="5"/>
  <c r="H168" i="5"/>
  <c r="G168" i="5"/>
  <c r="F168" i="5"/>
  <c r="E168" i="5"/>
  <c r="N167" i="5"/>
  <c r="L167" i="5"/>
  <c r="F167" i="5"/>
  <c r="E167" i="5"/>
  <c r="F166" i="5"/>
  <c r="R166" i="5" s="1"/>
  <c r="F165" i="5"/>
  <c r="R165" i="5" s="1"/>
  <c r="J3030" i="3" s="1"/>
  <c r="F164" i="5"/>
  <c r="R164" i="5" s="1"/>
  <c r="J3020" i="3" s="1"/>
  <c r="Q163" i="5"/>
  <c r="P163" i="5"/>
  <c r="O163" i="5"/>
  <c r="N163" i="5"/>
  <c r="M163" i="5"/>
  <c r="L163" i="5"/>
  <c r="K163" i="5"/>
  <c r="J163" i="5"/>
  <c r="I163" i="5"/>
  <c r="H163" i="5"/>
  <c r="G163" i="5"/>
  <c r="F163" i="5"/>
  <c r="E163" i="5"/>
  <c r="Q162" i="5"/>
  <c r="P162" i="5"/>
  <c r="N162" i="5"/>
  <c r="M162" i="5"/>
  <c r="L162" i="5"/>
  <c r="K162" i="5"/>
  <c r="J162" i="5"/>
  <c r="I162" i="5"/>
  <c r="H162" i="5"/>
  <c r="G162" i="5"/>
  <c r="F162" i="5"/>
  <c r="E162" i="5"/>
  <c r="F161" i="5"/>
  <c r="R161" i="5" s="1"/>
  <c r="Q160" i="5"/>
  <c r="P160" i="5"/>
  <c r="O160" i="5"/>
  <c r="N160" i="5"/>
  <c r="M160" i="5"/>
  <c r="L160" i="5"/>
  <c r="K160" i="5"/>
  <c r="J160" i="5"/>
  <c r="I160" i="5"/>
  <c r="H160" i="5"/>
  <c r="G160" i="5"/>
  <c r="F160" i="5"/>
  <c r="E160" i="5"/>
  <c r="Q159" i="5"/>
  <c r="P159" i="5"/>
  <c r="O159" i="5"/>
  <c r="N159" i="5"/>
  <c r="M159" i="5"/>
  <c r="L159" i="5"/>
  <c r="J159" i="5"/>
  <c r="I159" i="5"/>
  <c r="H159" i="5"/>
  <c r="G159" i="5"/>
  <c r="F159" i="5"/>
  <c r="E159" i="5"/>
  <c r="Q158" i="5"/>
  <c r="P158" i="5"/>
  <c r="N158" i="5"/>
  <c r="L158" i="5"/>
  <c r="F158" i="5"/>
  <c r="Q157" i="5"/>
  <c r="P157" i="5"/>
  <c r="O157" i="5"/>
  <c r="N157" i="5"/>
  <c r="M157" i="5"/>
  <c r="K157" i="5"/>
  <c r="J157" i="5"/>
  <c r="I157" i="5"/>
  <c r="H157" i="5"/>
  <c r="G157" i="5"/>
  <c r="F157" i="5"/>
  <c r="E157" i="5"/>
  <c r="Q156" i="5"/>
  <c r="P156" i="5"/>
  <c r="N156" i="5"/>
  <c r="M156" i="5"/>
  <c r="L156" i="5"/>
  <c r="K156" i="5"/>
  <c r="J156" i="5"/>
  <c r="I156" i="5"/>
  <c r="H156" i="5"/>
  <c r="G156" i="5"/>
  <c r="F156" i="5"/>
  <c r="Q155" i="5"/>
  <c r="P155" i="5"/>
  <c r="N155" i="5"/>
  <c r="J155" i="5"/>
  <c r="I155" i="5"/>
  <c r="H155" i="5"/>
  <c r="G155" i="5"/>
  <c r="F155" i="5"/>
  <c r="Q154" i="5"/>
  <c r="P154" i="5"/>
  <c r="O154" i="5"/>
  <c r="N154" i="5"/>
  <c r="M154" i="5"/>
  <c r="L154" i="5"/>
  <c r="K154" i="5"/>
  <c r="J154" i="5"/>
  <c r="I154" i="5"/>
  <c r="H154" i="5"/>
  <c r="G154" i="5"/>
  <c r="F154" i="5"/>
  <c r="E154" i="5"/>
  <c r="Q153" i="5"/>
  <c r="P153" i="5"/>
  <c r="N153" i="5"/>
  <c r="M153" i="5"/>
  <c r="L153" i="5"/>
  <c r="F153" i="5"/>
  <c r="Q152" i="5"/>
  <c r="P152" i="5"/>
  <c r="N152" i="5"/>
  <c r="J152" i="5"/>
  <c r="I152" i="5"/>
  <c r="H152" i="5"/>
  <c r="F152" i="5"/>
  <c r="N151" i="5"/>
  <c r="J151" i="5"/>
  <c r="F151" i="5"/>
  <c r="Q150" i="5"/>
  <c r="P150" i="5"/>
  <c r="O150" i="5"/>
  <c r="N150" i="5"/>
  <c r="M150" i="5"/>
  <c r="L150" i="5"/>
  <c r="K150" i="5"/>
  <c r="J150" i="5"/>
  <c r="I150" i="5"/>
  <c r="H150" i="5"/>
  <c r="G150" i="5"/>
  <c r="F150" i="5"/>
  <c r="E150" i="5"/>
  <c r="Q149" i="5"/>
  <c r="P149" i="5"/>
  <c r="O149" i="5"/>
  <c r="N149" i="5"/>
  <c r="M149" i="5"/>
  <c r="L149" i="5"/>
  <c r="K149" i="5"/>
  <c r="J149" i="5"/>
  <c r="G149" i="5"/>
  <c r="F149" i="5"/>
  <c r="E149" i="5"/>
  <c r="F148" i="5"/>
  <c r="R148" i="5" s="1"/>
  <c r="Q147" i="5"/>
  <c r="P147" i="5"/>
  <c r="N147" i="5"/>
  <c r="M147" i="5"/>
  <c r="L147" i="5"/>
  <c r="J147" i="5"/>
  <c r="I147" i="5"/>
  <c r="H147" i="5"/>
  <c r="G147" i="5"/>
  <c r="F147" i="5"/>
  <c r="Q146" i="5"/>
  <c r="P146" i="5"/>
  <c r="N146" i="5"/>
  <c r="M146" i="5"/>
  <c r="L146" i="5"/>
  <c r="J146" i="5"/>
  <c r="I146" i="5"/>
  <c r="H146" i="5"/>
  <c r="G146" i="5"/>
  <c r="F146" i="5"/>
  <c r="Q145" i="5"/>
  <c r="P145" i="5"/>
  <c r="O145" i="5"/>
  <c r="N145" i="5"/>
  <c r="M145" i="5"/>
  <c r="L145" i="5"/>
  <c r="K145" i="5"/>
  <c r="J145" i="5"/>
  <c r="I145" i="5"/>
  <c r="H145" i="5"/>
  <c r="G145" i="5"/>
  <c r="F145" i="5"/>
  <c r="E145" i="5"/>
  <c r="Q144" i="5"/>
  <c r="P144" i="5"/>
  <c r="O144" i="5"/>
  <c r="N144" i="5"/>
  <c r="M144" i="5"/>
  <c r="L144" i="5"/>
  <c r="K144" i="5"/>
  <c r="J144" i="5"/>
  <c r="I144" i="5"/>
  <c r="H144" i="5"/>
  <c r="G144" i="5"/>
  <c r="F144" i="5"/>
  <c r="E144" i="5"/>
  <c r="Q143" i="5"/>
  <c r="P143" i="5"/>
  <c r="O143" i="5"/>
  <c r="N143" i="5"/>
  <c r="M143" i="5"/>
  <c r="L143" i="5"/>
  <c r="K143" i="5"/>
  <c r="J143" i="5"/>
  <c r="I143" i="5"/>
  <c r="H143" i="5"/>
  <c r="G143" i="5"/>
  <c r="F143" i="5"/>
  <c r="E143" i="5"/>
  <c r="Q142" i="5"/>
  <c r="P142" i="5"/>
  <c r="O142" i="5"/>
  <c r="N142" i="5"/>
  <c r="M142" i="5"/>
  <c r="L142" i="5"/>
  <c r="K142" i="5"/>
  <c r="J142" i="5"/>
  <c r="I142" i="5"/>
  <c r="H142" i="5"/>
  <c r="G142" i="5"/>
  <c r="F142" i="5"/>
  <c r="E142" i="5"/>
  <c r="Q141" i="5"/>
  <c r="P141" i="5"/>
  <c r="O141" i="5"/>
  <c r="N141" i="5"/>
  <c r="M141" i="5"/>
  <c r="L141" i="5"/>
  <c r="K141" i="5"/>
  <c r="J141" i="5"/>
  <c r="I141" i="5"/>
  <c r="H141" i="5"/>
  <c r="G141" i="5"/>
  <c r="F141" i="5"/>
  <c r="E141" i="5"/>
  <c r="Q140" i="5"/>
  <c r="P140" i="5"/>
  <c r="O140" i="5"/>
  <c r="N140" i="5"/>
  <c r="M140" i="5"/>
  <c r="L140" i="5"/>
  <c r="K140" i="5"/>
  <c r="J140" i="5"/>
  <c r="I140" i="5"/>
  <c r="H140" i="5"/>
  <c r="G140" i="5"/>
  <c r="F140" i="5"/>
  <c r="E140" i="5"/>
  <c r="R139" i="5"/>
  <c r="J2627" i="3" s="1"/>
  <c r="F139" i="5"/>
  <c r="Q138" i="5"/>
  <c r="P138" i="5"/>
  <c r="N138" i="5"/>
  <c r="L138" i="5"/>
  <c r="K138" i="5"/>
  <c r="G138" i="5"/>
  <c r="F138" i="5"/>
  <c r="J137" i="5"/>
  <c r="H137" i="5"/>
  <c r="G137" i="5"/>
  <c r="F137" i="5"/>
  <c r="Q136" i="5"/>
  <c r="P136" i="5"/>
  <c r="H136" i="5"/>
  <c r="F136" i="5"/>
  <c r="Q135" i="5"/>
  <c r="M135" i="5"/>
  <c r="G135" i="5"/>
  <c r="F135" i="5"/>
  <c r="E135" i="5"/>
  <c r="Q134" i="5"/>
  <c r="P134" i="5"/>
  <c r="O134" i="5"/>
  <c r="N134" i="5"/>
  <c r="M134" i="5"/>
  <c r="L134" i="5"/>
  <c r="K134" i="5"/>
  <c r="J134" i="5"/>
  <c r="I134" i="5"/>
  <c r="H134" i="5"/>
  <c r="G134" i="5"/>
  <c r="F134" i="5"/>
  <c r="E134" i="5"/>
  <c r="Q133" i="5"/>
  <c r="P133" i="5"/>
  <c r="F133" i="5"/>
  <c r="F132" i="5"/>
  <c r="R132" i="5" s="1"/>
  <c r="J2504" i="3" s="1"/>
  <c r="F131" i="5"/>
  <c r="R131" i="5" s="1"/>
  <c r="J2494" i="3" s="1"/>
  <c r="F130" i="5"/>
  <c r="R130" i="5" s="1"/>
  <c r="J2484" i="3" s="1"/>
  <c r="Q129" i="5"/>
  <c r="P129" i="5"/>
  <c r="F129" i="5"/>
  <c r="F128" i="5"/>
  <c r="R128" i="5" s="1"/>
  <c r="J2466" i="3" s="1"/>
  <c r="F127" i="5"/>
  <c r="R127" i="5" s="1"/>
  <c r="J2457" i="3" s="1"/>
  <c r="F126" i="5"/>
  <c r="R126" i="5" s="1"/>
  <c r="J2437" i="3" s="1"/>
  <c r="Q124" i="5"/>
  <c r="P124" i="5"/>
  <c r="O124" i="5"/>
  <c r="J124" i="5"/>
  <c r="I124" i="5"/>
  <c r="H124" i="5"/>
  <c r="G124" i="5"/>
  <c r="F124" i="5"/>
  <c r="R123" i="5"/>
  <c r="J2354" i="3" s="1"/>
  <c r="Q123" i="5"/>
  <c r="P123" i="5"/>
  <c r="G123" i="5"/>
  <c r="F123" i="5"/>
  <c r="Q122" i="5"/>
  <c r="P122" i="5"/>
  <c r="O122" i="5"/>
  <c r="N122" i="5"/>
  <c r="M122" i="5"/>
  <c r="L122" i="5"/>
  <c r="J122" i="5"/>
  <c r="I122" i="5"/>
  <c r="H122" i="5"/>
  <c r="G122" i="5"/>
  <c r="F122" i="5"/>
  <c r="E122" i="5"/>
  <c r="Q121" i="5"/>
  <c r="P121" i="5"/>
  <c r="O121" i="5"/>
  <c r="N121" i="5"/>
  <c r="M121" i="5"/>
  <c r="L121" i="5"/>
  <c r="K121" i="5"/>
  <c r="J121" i="5"/>
  <c r="I121" i="5"/>
  <c r="H121" i="5"/>
  <c r="G121" i="5"/>
  <c r="F121" i="5"/>
  <c r="E121" i="5"/>
  <c r="Q120" i="5"/>
  <c r="P120" i="5"/>
  <c r="O120" i="5"/>
  <c r="N120" i="5"/>
  <c r="M120" i="5"/>
  <c r="L120" i="5"/>
  <c r="K120" i="5"/>
  <c r="J120" i="5"/>
  <c r="I120" i="5"/>
  <c r="H120" i="5"/>
  <c r="G120" i="5"/>
  <c r="F120" i="5"/>
  <c r="E120" i="5"/>
  <c r="Q119" i="5"/>
  <c r="P119" i="5"/>
  <c r="O119" i="5"/>
  <c r="N119" i="5"/>
  <c r="M119" i="5"/>
  <c r="L119" i="5"/>
  <c r="K119" i="5"/>
  <c r="J119" i="5"/>
  <c r="I119" i="5"/>
  <c r="H119" i="5"/>
  <c r="G119" i="5"/>
  <c r="F119" i="5"/>
  <c r="E119" i="5"/>
  <c r="Q118" i="5"/>
  <c r="P118" i="5"/>
  <c r="F118" i="5"/>
  <c r="Q117" i="5"/>
  <c r="P117" i="5"/>
  <c r="F117" i="5"/>
  <c r="R117" i="5" s="1"/>
  <c r="J2270" i="3" s="1"/>
  <c r="Q116" i="5"/>
  <c r="P116" i="5"/>
  <c r="N116" i="5"/>
  <c r="M116" i="5"/>
  <c r="J116" i="5"/>
  <c r="F116" i="5"/>
  <c r="Q115" i="5"/>
  <c r="P115" i="5"/>
  <c r="F115" i="5"/>
  <c r="Q114" i="5"/>
  <c r="P114" i="5"/>
  <c r="J114" i="5"/>
  <c r="G114" i="5"/>
  <c r="F114" i="5"/>
  <c r="Q113" i="5"/>
  <c r="P113" i="5"/>
  <c r="N113" i="5"/>
  <c r="M113" i="5"/>
  <c r="J113" i="5"/>
  <c r="I113" i="5"/>
  <c r="H113" i="5"/>
  <c r="G113" i="5"/>
  <c r="F113" i="5"/>
  <c r="Q112" i="5"/>
  <c r="P112" i="5"/>
  <c r="N112" i="5"/>
  <c r="M112" i="5"/>
  <c r="J112" i="5"/>
  <c r="I112" i="5"/>
  <c r="H112" i="5"/>
  <c r="G112" i="5"/>
  <c r="F112" i="5"/>
  <c r="Q111" i="5"/>
  <c r="P111" i="5"/>
  <c r="N111" i="5"/>
  <c r="M111" i="5"/>
  <c r="J111" i="5"/>
  <c r="I111" i="5"/>
  <c r="G111" i="5"/>
  <c r="F111" i="5"/>
  <c r="Q110" i="5"/>
  <c r="P110" i="5"/>
  <c r="N110" i="5"/>
  <c r="M110" i="5"/>
  <c r="J110" i="5"/>
  <c r="I110" i="5"/>
  <c r="H110" i="5"/>
  <c r="G110" i="5"/>
  <c r="F110" i="5"/>
  <c r="Q109" i="5"/>
  <c r="P109" i="5"/>
  <c r="F109" i="5"/>
  <c r="R108" i="5"/>
  <c r="F108" i="5"/>
  <c r="Q107" i="5"/>
  <c r="P107" i="5"/>
  <c r="O107" i="5"/>
  <c r="N107" i="5"/>
  <c r="M107" i="5"/>
  <c r="J107" i="5"/>
  <c r="I107" i="5"/>
  <c r="H107" i="5"/>
  <c r="G107" i="5"/>
  <c r="F107" i="5"/>
  <c r="F106" i="5"/>
  <c r="R106" i="5" s="1"/>
  <c r="Q105" i="5"/>
  <c r="P105" i="5"/>
  <c r="O105" i="5"/>
  <c r="N105" i="5"/>
  <c r="M105" i="5"/>
  <c r="L105" i="5"/>
  <c r="K105" i="5"/>
  <c r="J105" i="5"/>
  <c r="I105" i="5"/>
  <c r="H105" i="5"/>
  <c r="G105" i="5"/>
  <c r="F105" i="5"/>
  <c r="E105" i="5"/>
  <c r="Q104" i="5"/>
  <c r="P104" i="5"/>
  <c r="O104" i="5"/>
  <c r="N104" i="5"/>
  <c r="M104" i="5"/>
  <c r="L104" i="5"/>
  <c r="K104" i="5"/>
  <c r="J104" i="5"/>
  <c r="I104" i="5"/>
  <c r="H104" i="5"/>
  <c r="G104" i="5"/>
  <c r="F104" i="5"/>
  <c r="E104" i="5"/>
  <c r="Q103" i="5"/>
  <c r="P103" i="5"/>
  <c r="O103" i="5"/>
  <c r="N103" i="5"/>
  <c r="M103" i="5"/>
  <c r="L103" i="5"/>
  <c r="K103" i="5"/>
  <c r="J103" i="5"/>
  <c r="I103" i="5"/>
  <c r="H103" i="5"/>
  <c r="F103" i="5"/>
  <c r="E103" i="5"/>
  <c r="Q102" i="5"/>
  <c r="P102" i="5"/>
  <c r="O102" i="5"/>
  <c r="N102" i="5"/>
  <c r="M102" i="5"/>
  <c r="L102" i="5"/>
  <c r="K102" i="5"/>
  <c r="J102" i="5"/>
  <c r="I102" i="5"/>
  <c r="H102" i="5"/>
  <c r="G102" i="5"/>
  <c r="F102" i="5"/>
  <c r="E102" i="5"/>
  <c r="Q101" i="5"/>
  <c r="P101" i="5"/>
  <c r="O101" i="5"/>
  <c r="N101" i="5"/>
  <c r="M101" i="5"/>
  <c r="L101" i="5"/>
  <c r="K101" i="5"/>
  <c r="J101" i="5"/>
  <c r="I101" i="5"/>
  <c r="H101" i="5"/>
  <c r="G101" i="5"/>
  <c r="F101" i="5"/>
  <c r="E101" i="5"/>
  <c r="Q100" i="5"/>
  <c r="P100" i="5"/>
  <c r="O100" i="5"/>
  <c r="N100" i="5"/>
  <c r="M100" i="5"/>
  <c r="L100" i="5"/>
  <c r="K100" i="5"/>
  <c r="J100" i="5"/>
  <c r="I100" i="5"/>
  <c r="H100" i="5"/>
  <c r="G100" i="5"/>
  <c r="F100" i="5"/>
  <c r="E100" i="5"/>
  <c r="Q99" i="5"/>
  <c r="P99" i="5"/>
  <c r="O99" i="5"/>
  <c r="N99" i="5"/>
  <c r="M99" i="5"/>
  <c r="L99" i="5"/>
  <c r="K99" i="5"/>
  <c r="J99" i="5"/>
  <c r="I99" i="5"/>
  <c r="H99" i="5"/>
  <c r="G99" i="5"/>
  <c r="F99" i="5"/>
  <c r="E99" i="5"/>
  <c r="Q98" i="5"/>
  <c r="P98" i="5"/>
  <c r="O98" i="5"/>
  <c r="N98" i="5"/>
  <c r="M98" i="5"/>
  <c r="L98" i="5"/>
  <c r="K98" i="5"/>
  <c r="J98" i="5"/>
  <c r="I98" i="5"/>
  <c r="H98" i="5"/>
  <c r="G98" i="5"/>
  <c r="F98" i="5"/>
  <c r="E98" i="5"/>
  <c r="Q97" i="5"/>
  <c r="P97" i="5"/>
  <c r="O97" i="5"/>
  <c r="N97" i="5"/>
  <c r="M97" i="5"/>
  <c r="L97" i="5"/>
  <c r="K97" i="5"/>
  <c r="J97" i="5"/>
  <c r="I97" i="5"/>
  <c r="H97" i="5"/>
  <c r="G97" i="5"/>
  <c r="F97" i="5"/>
  <c r="E97" i="5"/>
  <c r="Q96" i="5"/>
  <c r="P96" i="5"/>
  <c r="O96" i="5"/>
  <c r="N96" i="5"/>
  <c r="M96" i="5"/>
  <c r="L96" i="5"/>
  <c r="K96" i="5"/>
  <c r="J96" i="5"/>
  <c r="I96" i="5"/>
  <c r="H96" i="5"/>
  <c r="G96" i="5"/>
  <c r="F96" i="5"/>
  <c r="E96" i="5"/>
  <c r="Q95" i="5"/>
  <c r="P95" i="5"/>
  <c r="O95" i="5"/>
  <c r="N95" i="5"/>
  <c r="M95" i="5"/>
  <c r="L95" i="5"/>
  <c r="K95" i="5"/>
  <c r="J95" i="5"/>
  <c r="I95" i="5"/>
  <c r="H95" i="5"/>
  <c r="G95" i="5"/>
  <c r="F95" i="5"/>
  <c r="E95" i="5"/>
  <c r="Q94" i="5"/>
  <c r="P94" i="5"/>
  <c r="O94" i="5"/>
  <c r="N94" i="5"/>
  <c r="M94" i="5"/>
  <c r="L94" i="5"/>
  <c r="K94" i="5"/>
  <c r="J94" i="5"/>
  <c r="I94" i="5"/>
  <c r="H94" i="5"/>
  <c r="G94" i="5"/>
  <c r="F94" i="5"/>
  <c r="E94" i="5"/>
  <c r="Q93" i="5"/>
  <c r="P93" i="5"/>
  <c r="N93" i="5"/>
  <c r="G93" i="5"/>
  <c r="F93" i="5"/>
  <c r="Q92" i="5"/>
  <c r="P92" i="5"/>
  <c r="O92" i="5"/>
  <c r="N92" i="5"/>
  <c r="M92" i="5"/>
  <c r="J92" i="5"/>
  <c r="I92" i="5"/>
  <c r="H92" i="5"/>
  <c r="G92" i="5"/>
  <c r="F92" i="5"/>
  <c r="Q91" i="5"/>
  <c r="P91" i="5"/>
  <c r="O91" i="5"/>
  <c r="N91" i="5"/>
  <c r="M91" i="5"/>
  <c r="J91" i="5"/>
  <c r="I91" i="5"/>
  <c r="H91" i="5"/>
  <c r="G91" i="5"/>
  <c r="F91" i="5"/>
  <c r="Q90" i="5"/>
  <c r="P90" i="5"/>
  <c r="F90" i="5"/>
  <c r="R90" i="5" s="1"/>
  <c r="J1657" i="3" s="1"/>
  <c r="Q89" i="5"/>
  <c r="P89" i="5"/>
  <c r="O89" i="5"/>
  <c r="N89" i="5"/>
  <c r="M89" i="5"/>
  <c r="J89" i="5"/>
  <c r="I89" i="5"/>
  <c r="H89" i="5"/>
  <c r="G89" i="5"/>
  <c r="F89" i="5"/>
  <c r="Q87" i="5"/>
  <c r="P87" i="5"/>
  <c r="O87" i="5"/>
  <c r="N87" i="5"/>
  <c r="M87" i="5"/>
  <c r="J87" i="5"/>
  <c r="I87" i="5"/>
  <c r="H87" i="5"/>
  <c r="G87" i="5"/>
  <c r="F87" i="5"/>
  <c r="Q86" i="5"/>
  <c r="P86" i="5"/>
  <c r="G86" i="5"/>
  <c r="F86" i="5"/>
  <c r="Q85" i="5"/>
  <c r="P85" i="5"/>
  <c r="O85" i="5"/>
  <c r="N85" i="5"/>
  <c r="M85" i="5"/>
  <c r="J85" i="5"/>
  <c r="I85" i="5"/>
  <c r="H85" i="5"/>
  <c r="G85" i="5"/>
  <c r="F85" i="5"/>
  <c r="Q84" i="5"/>
  <c r="P84" i="5"/>
  <c r="O84" i="5"/>
  <c r="N84" i="5"/>
  <c r="M84" i="5"/>
  <c r="J84" i="5"/>
  <c r="I84" i="5"/>
  <c r="H84" i="5"/>
  <c r="G84" i="5"/>
  <c r="F84" i="5"/>
  <c r="Q83" i="5"/>
  <c r="P83" i="5"/>
  <c r="O83" i="5"/>
  <c r="N83" i="5"/>
  <c r="M83" i="5"/>
  <c r="J83" i="5"/>
  <c r="I83" i="5"/>
  <c r="H83" i="5"/>
  <c r="G83" i="5"/>
  <c r="F83" i="5"/>
  <c r="Q82" i="5"/>
  <c r="P82" i="5"/>
  <c r="O82" i="5"/>
  <c r="N82" i="5"/>
  <c r="M82" i="5"/>
  <c r="J82" i="5"/>
  <c r="I82" i="5"/>
  <c r="H82" i="5"/>
  <c r="G82" i="5"/>
  <c r="F82" i="5"/>
  <c r="N81" i="5"/>
  <c r="G81" i="5"/>
  <c r="F81" i="5"/>
  <c r="Q80" i="5"/>
  <c r="P80" i="5"/>
  <c r="O80" i="5"/>
  <c r="N80" i="5"/>
  <c r="M80" i="5"/>
  <c r="J80" i="5"/>
  <c r="G80" i="5"/>
  <c r="F80" i="5"/>
  <c r="E80" i="5"/>
  <c r="G79" i="5"/>
  <c r="F79" i="5"/>
  <c r="Q78" i="5"/>
  <c r="P78" i="5"/>
  <c r="O78" i="5"/>
  <c r="N78" i="5"/>
  <c r="M78" i="5"/>
  <c r="J78" i="5"/>
  <c r="G78" i="5"/>
  <c r="F78" i="5"/>
  <c r="Q77" i="5"/>
  <c r="P77" i="5"/>
  <c r="O77" i="5"/>
  <c r="N77" i="5"/>
  <c r="M77" i="5"/>
  <c r="J77" i="5"/>
  <c r="G77" i="5"/>
  <c r="F77" i="5"/>
  <c r="Q76" i="5"/>
  <c r="P76" i="5"/>
  <c r="O76" i="5"/>
  <c r="N76" i="5"/>
  <c r="M76" i="5"/>
  <c r="J76" i="5"/>
  <c r="G76" i="5"/>
  <c r="F76" i="5"/>
  <c r="Q75" i="5"/>
  <c r="O75" i="5"/>
  <c r="N75" i="5"/>
  <c r="M75" i="5"/>
  <c r="J75" i="5"/>
  <c r="G75" i="5"/>
  <c r="F75" i="5"/>
  <c r="Q74" i="5"/>
  <c r="O74" i="5"/>
  <c r="N74" i="5"/>
  <c r="M74" i="5"/>
  <c r="J74" i="5"/>
  <c r="I74" i="5"/>
  <c r="H74" i="5"/>
  <c r="G74" i="5"/>
  <c r="F74" i="5"/>
  <c r="Q73" i="5"/>
  <c r="P73" i="5"/>
  <c r="N73" i="5"/>
  <c r="J73" i="5"/>
  <c r="G73" i="5"/>
  <c r="F73" i="5"/>
  <c r="Q72" i="5"/>
  <c r="P72" i="5"/>
  <c r="O72" i="5"/>
  <c r="N72" i="5"/>
  <c r="H72" i="5"/>
  <c r="G72" i="5"/>
  <c r="F72" i="5"/>
  <c r="Q71" i="5"/>
  <c r="P71" i="5"/>
  <c r="O71" i="5"/>
  <c r="N71" i="5"/>
  <c r="M71" i="5"/>
  <c r="J71" i="5"/>
  <c r="I71" i="5"/>
  <c r="H71" i="5"/>
  <c r="G71" i="5"/>
  <c r="F71" i="5"/>
  <c r="Q70" i="5"/>
  <c r="P70" i="5"/>
  <c r="O70" i="5"/>
  <c r="N70" i="5"/>
  <c r="M70" i="5"/>
  <c r="J70" i="5"/>
  <c r="I70" i="5"/>
  <c r="H70" i="5"/>
  <c r="G70" i="5"/>
  <c r="F70" i="5"/>
  <c r="Q69" i="5"/>
  <c r="P69" i="5"/>
  <c r="N69" i="5"/>
  <c r="G69" i="5"/>
  <c r="F69" i="5"/>
  <c r="Q68" i="5"/>
  <c r="P68" i="5"/>
  <c r="O68" i="5"/>
  <c r="N68" i="5"/>
  <c r="M68" i="5"/>
  <c r="J68" i="5"/>
  <c r="I68" i="5"/>
  <c r="H68" i="5"/>
  <c r="G68" i="5"/>
  <c r="F68" i="5"/>
  <c r="Q67" i="5"/>
  <c r="P67" i="5"/>
  <c r="O67" i="5"/>
  <c r="N67" i="5"/>
  <c r="M67" i="5"/>
  <c r="J67" i="5"/>
  <c r="I67" i="5"/>
  <c r="H67" i="5"/>
  <c r="G67" i="5"/>
  <c r="F67" i="5"/>
  <c r="Q66" i="5"/>
  <c r="P66" i="5"/>
  <c r="O66" i="5"/>
  <c r="N66" i="5"/>
  <c r="M66" i="5"/>
  <c r="J66" i="5"/>
  <c r="I66" i="5"/>
  <c r="H66" i="5"/>
  <c r="G66" i="5"/>
  <c r="F66" i="5"/>
  <c r="R65" i="5"/>
  <c r="R64" i="5"/>
  <c r="R63" i="5"/>
  <c r="P62" i="5"/>
  <c r="R62" i="5" s="1"/>
  <c r="J1076" i="3" s="1"/>
  <c r="P61" i="5"/>
  <c r="G61" i="5"/>
  <c r="F61" i="5"/>
  <c r="G60" i="5"/>
  <c r="F60" i="5"/>
  <c r="G59" i="5"/>
  <c r="F59" i="5"/>
  <c r="P58" i="5"/>
  <c r="G58" i="5"/>
  <c r="F58" i="5"/>
  <c r="R58" i="5" s="1"/>
  <c r="J1030" i="3" s="1"/>
  <c r="G57" i="5"/>
  <c r="F57" i="5"/>
  <c r="G56" i="5"/>
  <c r="F56" i="5"/>
  <c r="G55" i="5"/>
  <c r="F55" i="5"/>
  <c r="G54" i="5"/>
  <c r="F54" i="5"/>
  <c r="R54" i="5" s="1"/>
  <c r="J964" i="3" s="1"/>
  <c r="G53" i="5"/>
  <c r="F53" i="5"/>
  <c r="G52" i="5"/>
  <c r="F52" i="5"/>
  <c r="R52" i="5" s="1"/>
  <c r="J934" i="3" s="1"/>
  <c r="P51" i="5"/>
  <c r="G51" i="5"/>
  <c r="F51" i="5"/>
  <c r="R51" i="5" s="1"/>
  <c r="J912" i="3" s="1"/>
  <c r="G50" i="5"/>
  <c r="F50" i="5"/>
  <c r="R50" i="5" s="1"/>
  <c r="J895" i="3" s="1"/>
  <c r="G49" i="5"/>
  <c r="F49" i="5"/>
  <c r="G48" i="5"/>
  <c r="F48" i="5"/>
  <c r="P47" i="5"/>
  <c r="G47" i="5"/>
  <c r="F47" i="5"/>
  <c r="R47" i="5" s="1"/>
  <c r="J837" i="3" s="1"/>
  <c r="P46" i="5"/>
  <c r="G46" i="5"/>
  <c r="F46" i="5"/>
  <c r="G45" i="5"/>
  <c r="F45" i="5"/>
  <c r="G44" i="5"/>
  <c r="F44" i="5"/>
  <c r="R44" i="5" s="1"/>
  <c r="J767" i="3" s="1"/>
  <c r="G43" i="5"/>
  <c r="F43" i="5"/>
  <c r="G42" i="5"/>
  <c r="F42" i="5"/>
  <c r="R42" i="5" s="1"/>
  <c r="J759" i="3" s="1"/>
  <c r="G41" i="5"/>
  <c r="F41" i="5"/>
  <c r="G40" i="5"/>
  <c r="F40" i="5"/>
  <c r="R40" i="5" s="1"/>
  <c r="J721" i="3" s="1"/>
  <c r="G39" i="5"/>
  <c r="F39" i="5"/>
  <c r="G38" i="5"/>
  <c r="F38" i="5"/>
  <c r="G37" i="5"/>
  <c r="F37" i="5"/>
  <c r="R37" i="5" s="1"/>
  <c r="J670" i="3" s="1"/>
  <c r="G36" i="5"/>
  <c r="F36" i="5"/>
  <c r="G35" i="5"/>
  <c r="F35" i="5"/>
  <c r="G34" i="5"/>
  <c r="R34" i="5" s="1"/>
  <c r="J634" i="3" s="1"/>
  <c r="F34" i="5"/>
  <c r="G33" i="5"/>
  <c r="F33" i="5"/>
  <c r="G32" i="5"/>
  <c r="F32" i="5"/>
  <c r="R32" i="5" s="1"/>
  <c r="J606" i="3" s="1"/>
  <c r="G31" i="5"/>
  <c r="F31" i="5"/>
  <c r="G30" i="5"/>
  <c r="F30" i="5"/>
  <c r="G29" i="5"/>
  <c r="F29" i="5"/>
  <c r="R29" i="5" s="1"/>
  <c r="J572" i="3" s="1"/>
  <c r="G28" i="5"/>
  <c r="F28" i="5"/>
  <c r="G27" i="5"/>
  <c r="F27" i="5"/>
  <c r="F26" i="5"/>
  <c r="R26" i="5" s="1"/>
  <c r="J535" i="3" s="1"/>
  <c r="Q25" i="5"/>
  <c r="P25" i="5"/>
  <c r="N25" i="5"/>
  <c r="L25" i="5"/>
  <c r="G25" i="5"/>
  <c r="F25" i="5"/>
  <c r="F24" i="5"/>
  <c r="R24" i="5" s="1"/>
  <c r="J431" i="3" s="1"/>
  <c r="F22" i="5"/>
  <c r="R22" i="5" s="1"/>
  <c r="Q21" i="5"/>
  <c r="P21" i="5"/>
  <c r="O21" i="5"/>
  <c r="N21" i="5"/>
  <c r="J21" i="5"/>
  <c r="F21" i="5"/>
  <c r="Q20" i="5"/>
  <c r="P20" i="5"/>
  <c r="F20" i="5"/>
  <c r="F19" i="5"/>
  <c r="R19" i="5" s="1"/>
  <c r="J382" i="3" s="1"/>
  <c r="Q18" i="5"/>
  <c r="P18" i="5"/>
  <c r="F18" i="5"/>
  <c r="F17" i="5"/>
  <c r="R17" i="5" s="1"/>
  <c r="J308" i="3" s="1"/>
  <c r="Q16" i="5"/>
  <c r="P16" i="5"/>
  <c r="G16" i="5"/>
  <c r="F16" i="5"/>
  <c r="Q15" i="5"/>
  <c r="P15" i="5"/>
  <c r="O15" i="5"/>
  <c r="G15" i="5"/>
  <c r="F15" i="5"/>
  <c r="E15" i="5"/>
  <c r="Q14" i="5"/>
  <c r="P14" i="5"/>
  <c r="O14" i="5"/>
  <c r="N14" i="5"/>
  <c r="M14" i="5"/>
  <c r="L14" i="5"/>
  <c r="K14" i="5"/>
  <c r="J14" i="5"/>
  <c r="I14" i="5"/>
  <c r="G14" i="5"/>
  <c r="F14" i="5"/>
  <c r="E14" i="5"/>
  <c r="Q13" i="5"/>
  <c r="P13" i="5"/>
  <c r="N13" i="5"/>
  <c r="M13" i="5"/>
  <c r="J13" i="5"/>
  <c r="I13" i="5"/>
  <c r="H13" i="5"/>
  <c r="G13" i="5"/>
  <c r="F13" i="5"/>
  <c r="E13" i="5"/>
  <c r="Q12" i="5"/>
  <c r="P12" i="5"/>
  <c r="O12" i="5"/>
  <c r="N12" i="5"/>
  <c r="M12" i="5"/>
  <c r="L12" i="5"/>
  <c r="K12" i="5"/>
  <c r="J12" i="5"/>
  <c r="I12" i="5"/>
  <c r="H12" i="5"/>
  <c r="G12" i="5"/>
  <c r="F12" i="5"/>
  <c r="E12" i="5"/>
  <c r="Q11" i="5"/>
  <c r="P11" i="5"/>
  <c r="O11" i="5"/>
  <c r="N11" i="5"/>
  <c r="M11" i="5"/>
  <c r="L11" i="5"/>
  <c r="K11" i="5"/>
  <c r="J11" i="5"/>
  <c r="I11" i="5"/>
  <c r="H11" i="5"/>
  <c r="G11" i="5"/>
  <c r="F11" i="5"/>
  <c r="E11" i="5"/>
  <c r="Q10" i="5"/>
  <c r="P10" i="5"/>
  <c r="O10" i="5"/>
  <c r="N10" i="5"/>
  <c r="M10" i="5"/>
  <c r="L10" i="5"/>
  <c r="K10" i="5"/>
  <c r="J10" i="5"/>
  <c r="I10" i="5"/>
  <c r="H10" i="5"/>
  <c r="G10" i="5"/>
  <c r="F10" i="5"/>
  <c r="E10" i="5"/>
  <c r="F9" i="5"/>
  <c r="R9" i="5" s="1"/>
  <c r="J126" i="3" s="1"/>
  <c r="R8" i="5"/>
  <c r="J79" i="3" s="1"/>
  <c r="F8" i="5"/>
  <c r="F7" i="5"/>
  <c r="R7" i="5" s="1"/>
  <c r="F6" i="5"/>
  <c r="R6" i="5" s="1"/>
  <c r="F5" i="5"/>
  <c r="R5" i="5" s="1"/>
  <c r="J46" i="3" s="1"/>
  <c r="F4" i="5"/>
  <c r="R4" i="5" s="1"/>
  <c r="J23" i="3" s="1"/>
  <c r="I3273" i="3"/>
  <c r="K3273" i="3" s="1"/>
  <c r="K4175" i="3"/>
  <c r="I2027" i="3"/>
  <c r="K2027" i="3" s="1"/>
  <c r="I3302" i="3"/>
  <c r="K3302" i="3" s="1"/>
  <c r="I4107" i="3"/>
  <c r="K4107" i="3" s="1"/>
  <c r="I4113" i="3"/>
  <c r="K4113" i="3" s="1"/>
  <c r="J3808" i="3"/>
  <c r="I2157" i="3"/>
  <c r="K2157" i="3" s="1"/>
  <c r="K2158" i="3" s="1"/>
  <c r="J3485" i="3"/>
  <c r="K3485" i="3" s="1"/>
  <c r="K3486" i="3" s="1"/>
  <c r="K3487" i="3" s="1"/>
  <c r="G4413" i="3"/>
  <c r="G4411" i="3"/>
  <c r="G4410" i="3"/>
  <c r="K4410" i="3" s="1"/>
  <c r="G4408" i="3"/>
  <c r="E4408" i="3"/>
  <c r="G4409" i="3"/>
  <c r="G4407" i="3"/>
  <c r="E4407" i="3"/>
  <c r="G4405" i="3"/>
  <c r="E4405" i="3"/>
  <c r="K4386" i="3"/>
  <c r="K4385" i="3"/>
  <c r="K4384" i="3"/>
  <c r="K4375" i="3"/>
  <c r="K4374" i="3"/>
  <c r="K4365" i="3"/>
  <c r="K4364" i="3"/>
  <c r="K4356" i="3"/>
  <c r="K4359" i="3" s="1"/>
  <c r="K4346" i="3"/>
  <c r="K4348" i="3" s="1"/>
  <c r="K4351" i="3" s="1"/>
  <c r="E4327" i="3"/>
  <c r="K4327" i="3" s="1"/>
  <c r="E4326" i="3"/>
  <c r="K4326" i="3" s="1"/>
  <c r="E4324" i="3"/>
  <c r="K4324" i="3" s="1"/>
  <c r="E4323" i="3"/>
  <c r="K4323" i="3" s="1"/>
  <c r="E4322" i="3"/>
  <c r="K4322" i="3" s="1"/>
  <c r="E4321" i="3"/>
  <c r="K4321" i="3" s="1"/>
  <c r="K4320" i="3"/>
  <c r="E4319" i="3"/>
  <c r="K4319" i="3" s="1"/>
  <c r="K4318" i="3"/>
  <c r="E4317" i="3"/>
  <c r="K4317" i="3" s="1"/>
  <c r="K4316" i="3"/>
  <c r="K4306" i="3"/>
  <c r="K4305" i="3"/>
  <c r="K4297" i="3"/>
  <c r="K4300" i="3" s="1"/>
  <c r="K4289" i="3"/>
  <c r="K4292" i="3" s="1"/>
  <c r="K4280" i="3"/>
  <c r="E4279" i="3"/>
  <c r="K4279" i="3" s="1"/>
  <c r="K4278" i="3"/>
  <c r="K4277" i="3"/>
  <c r="E4258" i="3"/>
  <c r="K4258" i="3" s="1"/>
  <c r="E4257" i="3"/>
  <c r="K4257" i="3" s="1"/>
  <c r="K4256" i="3"/>
  <c r="K4255" i="3"/>
  <c r="K4238" i="3"/>
  <c r="E4237" i="3"/>
  <c r="K4237" i="3" s="1"/>
  <c r="E4236" i="3"/>
  <c r="K4236" i="3" s="1"/>
  <c r="E4235" i="3"/>
  <c r="K4235" i="3" s="1"/>
  <c r="E4234" i="3"/>
  <c r="K4234" i="3" s="1"/>
  <c r="K4214" i="3"/>
  <c r="E4213" i="3"/>
  <c r="K4213" i="3" s="1"/>
  <c r="K4212" i="3"/>
  <c r="K4211" i="3"/>
  <c r="K4210" i="3"/>
  <c r="K4209" i="3"/>
  <c r="E4188" i="3"/>
  <c r="K4188" i="3" s="1"/>
  <c r="E4187" i="3"/>
  <c r="K4187" i="3" s="1"/>
  <c r="K4186" i="3"/>
  <c r="K4185" i="3"/>
  <c r="K4184" i="3"/>
  <c r="K4176" i="3"/>
  <c r="K4166" i="3"/>
  <c r="K4165" i="3"/>
  <c r="E4164" i="3"/>
  <c r="K4164" i="3" s="1"/>
  <c r="E4163" i="3"/>
  <c r="K4163" i="3" s="1"/>
  <c r="K4162" i="3"/>
  <c r="E4161" i="3"/>
  <c r="K4161" i="3" s="1"/>
  <c r="K4151" i="3"/>
  <c r="K4152" i="3" s="1"/>
  <c r="K4156" i="3" s="1"/>
  <c r="K4142" i="3"/>
  <c r="E4140" i="3"/>
  <c r="K4140" i="3" s="1"/>
  <c r="E4139" i="3"/>
  <c r="K4139" i="3" s="1"/>
  <c r="K4130" i="3"/>
  <c r="K4133" i="3" s="1"/>
  <c r="E4121" i="3"/>
  <c r="K4121" i="3" s="1"/>
  <c r="K4122" i="3" s="1"/>
  <c r="K4125" i="3" s="1"/>
  <c r="K4115" i="3"/>
  <c r="K4114" i="3"/>
  <c r="K4112" i="3"/>
  <c r="I4110" i="3"/>
  <c r="K4110" i="3" s="1"/>
  <c r="E4109" i="3"/>
  <c r="K4108" i="3"/>
  <c r="K4100" i="3"/>
  <c r="K4101" i="3" s="1"/>
  <c r="K4081" i="3"/>
  <c r="K4080" i="3"/>
  <c r="K4079" i="3"/>
  <c r="E4061" i="3"/>
  <c r="K4061" i="3" s="1"/>
  <c r="K4064" i="3" s="1"/>
  <c r="E4043" i="3"/>
  <c r="K4043" i="3" s="1"/>
  <c r="K4046" i="3" s="1"/>
  <c r="K4024" i="3"/>
  <c r="K4023" i="3"/>
  <c r="K4022" i="3"/>
  <c r="K4013" i="3"/>
  <c r="K4012" i="3"/>
  <c r="K4011" i="3"/>
  <c r="K3992" i="3"/>
  <c r="K3991" i="3"/>
  <c r="K3990" i="3"/>
  <c r="K3989" i="3"/>
  <c r="K3988" i="3"/>
  <c r="K3983" i="3"/>
  <c r="E3962" i="3"/>
  <c r="K3962" i="3" s="1"/>
  <c r="K3965" i="3" s="1"/>
  <c r="K3957" i="3"/>
  <c r="K3919" i="3"/>
  <c r="K3918" i="3"/>
  <c r="K3917" i="3"/>
  <c r="K3908" i="3"/>
  <c r="E3907" i="3"/>
  <c r="K3907" i="3" s="1"/>
  <c r="K3901" i="3"/>
  <c r="K3891" i="3"/>
  <c r="K3889" i="3"/>
  <c r="K3888" i="3"/>
  <c r="K3853" i="3"/>
  <c r="K3852" i="3"/>
  <c r="G3841" i="3"/>
  <c r="E3841" i="3"/>
  <c r="E3816" i="3"/>
  <c r="K3816" i="3" s="1"/>
  <c r="K3819" i="3" s="1"/>
  <c r="J3802" i="3"/>
  <c r="K3802" i="3" s="1"/>
  <c r="K3803" i="3" s="1"/>
  <c r="G3793" i="3"/>
  <c r="E3793" i="3"/>
  <c r="G3792" i="3"/>
  <c r="E3792" i="3"/>
  <c r="G3791" i="3"/>
  <c r="E3791" i="3"/>
  <c r="G3790" i="3"/>
  <c r="K3790" i="3" s="1"/>
  <c r="E3789" i="3"/>
  <c r="G3788" i="3"/>
  <c r="E3788" i="3"/>
  <c r="E3787" i="3"/>
  <c r="K3787" i="3" s="1"/>
  <c r="K3778" i="3"/>
  <c r="K3782" i="3" s="1"/>
  <c r="G3759" i="3"/>
  <c r="K3759" i="3" s="1"/>
  <c r="G3758" i="3"/>
  <c r="K3758" i="3" s="1"/>
  <c r="K3756" i="3"/>
  <c r="K3755" i="3"/>
  <c r="K3747" i="3"/>
  <c r="G3738" i="3"/>
  <c r="E3738" i="3"/>
  <c r="E3737" i="3"/>
  <c r="K3737" i="3" s="1"/>
  <c r="E3728" i="3"/>
  <c r="K3728" i="3" s="1"/>
  <c r="E3727" i="3"/>
  <c r="K3727" i="3" s="1"/>
  <c r="K3718" i="3"/>
  <c r="K3721" i="3" s="1"/>
  <c r="E3710" i="3"/>
  <c r="K3710" i="3" s="1"/>
  <c r="K3713" i="3" s="1"/>
  <c r="E3692" i="3"/>
  <c r="K3692" i="3" s="1"/>
  <c r="K3695" i="3" s="1"/>
  <c r="E3683" i="3"/>
  <c r="K3683" i="3" s="1"/>
  <c r="E3681" i="3"/>
  <c r="E3682" i="3" s="1"/>
  <c r="K3662" i="3"/>
  <c r="K3661" i="3"/>
  <c r="K3652" i="3"/>
  <c r="K3651" i="3"/>
  <c r="K3643" i="3"/>
  <c r="K3646" i="3" s="1"/>
  <c r="G3632" i="3"/>
  <c r="K3632" i="3" s="1"/>
  <c r="G3631" i="3"/>
  <c r="E3631" i="3"/>
  <c r="G3595" i="3"/>
  <c r="G3590" i="3"/>
  <c r="K3590" i="3" s="1"/>
  <c r="G3589" i="3"/>
  <c r="K3589" i="3" s="1"/>
  <c r="G3587" i="3"/>
  <c r="J3583" i="3"/>
  <c r="K3578" i="3"/>
  <c r="K3577" i="3"/>
  <c r="K3576" i="3"/>
  <c r="K3575" i="3"/>
  <c r="K3574" i="3"/>
  <c r="K3547" i="3"/>
  <c r="K3550" i="3" s="1"/>
  <c r="E3531" i="3"/>
  <c r="K3531" i="3" s="1"/>
  <c r="E3530" i="3"/>
  <c r="K3530" i="3" s="1"/>
  <c r="E3528" i="3"/>
  <c r="K3528" i="3" s="1"/>
  <c r="E3520" i="3"/>
  <c r="K3520" i="3" s="1"/>
  <c r="K3523" i="3" s="1"/>
  <c r="E3512" i="3"/>
  <c r="K3493" i="3"/>
  <c r="K3496" i="3" s="1"/>
  <c r="K3480" i="3"/>
  <c r="K3468" i="3"/>
  <c r="K3467" i="3"/>
  <c r="K3446" i="3"/>
  <c r="K3445" i="3"/>
  <c r="K3444" i="3"/>
  <c r="K3442" i="3"/>
  <c r="K3438" i="3"/>
  <c r="K3440" i="3" s="1"/>
  <c r="E3435" i="3"/>
  <c r="K3435" i="3" s="1"/>
  <c r="K3434" i="3"/>
  <c r="E3433" i="3"/>
  <c r="K3433" i="3" s="1"/>
  <c r="K3432" i="3"/>
  <c r="G3431" i="3"/>
  <c r="K3431" i="3" s="1"/>
  <c r="G3430" i="3"/>
  <c r="K3430" i="3" s="1"/>
  <c r="E3428" i="3"/>
  <c r="K3428" i="3" s="1"/>
  <c r="E3427" i="3"/>
  <c r="K3427" i="3" s="1"/>
  <c r="K3422" i="3"/>
  <c r="K3410" i="3"/>
  <c r="K3414" i="3" s="1"/>
  <c r="K3402" i="3"/>
  <c r="K3405" i="3" s="1"/>
  <c r="E3393" i="3"/>
  <c r="K3393" i="3" s="1"/>
  <c r="E3392" i="3"/>
  <c r="K3392" i="3" s="1"/>
  <c r="E3391" i="3"/>
  <c r="K3391" i="3" s="1"/>
  <c r="E3375" i="3"/>
  <c r="K3375" i="3" s="1"/>
  <c r="E3374" i="3"/>
  <c r="K3374" i="3" s="1"/>
  <c r="E3372" i="3"/>
  <c r="K3372" i="3" s="1"/>
  <c r="E3371" i="3"/>
  <c r="K3371" i="3" s="1"/>
  <c r="E3370" i="3"/>
  <c r="K3370" i="3" s="1"/>
  <c r="E3361" i="3"/>
  <c r="K3361" i="3" s="1"/>
  <c r="K3364" i="3" s="1"/>
  <c r="E3352" i="3"/>
  <c r="K3352" i="3" s="1"/>
  <c r="K3355" i="3" s="1"/>
  <c r="E3343" i="3"/>
  <c r="K3343" i="3" s="1"/>
  <c r="K3346" i="3" s="1"/>
  <c r="E3335" i="3"/>
  <c r="E3326" i="3"/>
  <c r="K3326" i="3" s="1"/>
  <c r="E3314" i="3"/>
  <c r="K3314" i="3" s="1"/>
  <c r="E3313" i="3"/>
  <c r="K3313" i="3" s="1"/>
  <c r="E3312" i="3"/>
  <c r="K3312" i="3" s="1"/>
  <c r="E3310" i="3"/>
  <c r="K3310" i="3" s="1"/>
  <c r="K3311" i="3" s="1"/>
  <c r="I3304" i="3"/>
  <c r="K3304" i="3" s="1"/>
  <c r="I3303" i="3"/>
  <c r="K3303" i="3" s="1"/>
  <c r="E3291" i="3"/>
  <c r="K3291" i="3" s="1"/>
  <c r="G3290" i="3"/>
  <c r="K3289" i="3"/>
  <c r="K3288" i="3"/>
  <c r="K3279" i="3"/>
  <c r="K3278" i="3"/>
  <c r="K3263" i="3"/>
  <c r="K3262" i="3"/>
  <c r="K3254" i="3"/>
  <c r="K3257" i="3" s="1"/>
  <c r="J3250" i="3"/>
  <c r="K3246" i="3"/>
  <c r="K3249" i="3" s="1"/>
  <c r="K3238" i="3"/>
  <c r="K3241" i="3" s="1"/>
  <c r="K3229" i="3"/>
  <c r="K3228" i="3"/>
  <c r="I3222" i="3"/>
  <c r="K3222" i="3" s="1"/>
  <c r="J3217" i="3"/>
  <c r="K3212" i="3"/>
  <c r="K3211" i="3"/>
  <c r="K3202" i="3"/>
  <c r="K3200" i="3"/>
  <c r="K3191" i="3"/>
  <c r="K3190" i="3"/>
  <c r="K3176" i="3"/>
  <c r="K3175" i="3"/>
  <c r="K3156" i="3"/>
  <c r="K3155" i="3"/>
  <c r="K3146" i="3"/>
  <c r="K3145" i="3"/>
  <c r="K3136" i="3"/>
  <c r="K3135" i="3"/>
  <c r="K3126" i="3"/>
  <c r="K3125" i="3"/>
  <c r="K3116" i="3"/>
  <c r="K3115" i="3"/>
  <c r="K3106" i="3"/>
  <c r="K3105" i="3"/>
  <c r="J3101" i="3"/>
  <c r="K3096" i="3"/>
  <c r="K3095" i="3"/>
  <c r="I3089" i="3"/>
  <c r="K3089" i="3" s="1"/>
  <c r="K3091" i="3" s="1"/>
  <c r="K3075" i="3"/>
  <c r="K3073" i="3"/>
  <c r="K3072" i="3"/>
  <c r="K3071" i="3"/>
  <c r="K3070" i="3"/>
  <c r="K3061" i="3"/>
  <c r="K3060" i="3"/>
  <c r="K3051" i="3"/>
  <c r="K3050" i="3"/>
  <c r="J3046" i="3"/>
  <c r="K3041" i="3"/>
  <c r="G3040" i="3"/>
  <c r="K3040" i="3" s="1"/>
  <c r="E3039" i="3"/>
  <c r="K3039" i="3" s="1"/>
  <c r="I3034" i="3"/>
  <c r="K3034" i="3" s="1"/>
  <c r="K3035" i="3" s="1"/>
  <c r="K3025" i="3"/>
  <c r="K3024" i="3"/>
  <c r="K3016" i="3"/>
  <c r="K3019" i="3" s="1"/>
  <c r="K3007" i="3"/>
  <c r="K3006" i="3"/>
  <c r="K2982" i="3"/>
  <c r="K2981" i="3"/>
  <c r="K2965" i="3"/>
  <c r="K2967" i="3" s="1"/>
  <c r="G2946" i="3"/>
  <c r="K2946" i="3" s="1"/>
  <c r="K2944" i="3"/>
  <c r="G2917" i="3"/>
  <c r="K2917" i="3" s="1"/>
  <c r="E2916" i="3"/>
  <c r="G2916" i="3" s="1"/>
  <c r="K2916" i="3" s="1"/>
  <c r="E2915" i="3"/>
  <c r="G2915" i="3" s="1"/>
  <c r="K2915" i="3" s="1"/>
  <c r="E2914" i="3"/>
  <c r="G2914" i="3" s="1"/>
  <c r="K2914" i="3" s="1"/>
  <c r="E2913" i="3"/>
  <c r="G2913" i="3" s="1"/>
  <c r="K2913" i="3" s="1"/>
  <c r="E2912" i="3"/>
  <c r="G2912" i="3" s="1"/>
  <c r="K2912" i="3" s="1"/>
  <c r="E2911" i="3"/>
  <c r="G2911" i="3" s="1"/>
  <c r="K2911" i="3" s="1"/>
  <c r="G2910" i="3"/>
  <c r="K2910" i="3" s="1"/>
  <c r="G2909" i="3"/>
  <c r="K2909" i="3" s="1"/>
  <c r="K2901" i="3"/>
  <c r="K2904" i="3" s="1"/>
  <c r="K2892" i="3"/>
  <c r="K2891" i="3"/>
  <c r="E2872" i="3"/>
  <c r="G2872" i="3" s="1"/>
  <c r="K2872" i="3" s="1"/>
  <c r="E2871" i="3"/>
  <c r="G2871" i="3" s="1"/>
  <c r="K2871" i="3" s="1"/>
  <c r="E2870" i="3"/>
  <c r="G2870" i="3" s="1"/>
  <c r="K2870" i="3" s="1"/>
  <c r="E2869" i="3"/>
  <c r="G2869" i="3" s="1"/>
  <c r="K2869" i="3" s="1"/>
  <c r="E2868" i="3"/>
  <c r="G2868" i="3" s="1"/>
  <c r="K2868" i="3" s="1"/>
  <c r="E2867" i="3"/>
  <c r="G2867" i="3" s="1"/>
  <c r="K2867" i="3" s="1"/>
  <c r="K2866" i="3"/>
  <c r="K2865" i="3"/>
  <c r="K2856" i="3"/>
  <c r="K2855" i="3"/>
  <c r="K2846" i="3"/>
  <c r="K2845" i="3"/>
  <c r="K2836" i="3"/>
  <c r="E2835" i="3"/>
  <c r="K2835" i="3" s="1"/>
  <c r="K2834" i="3"/>
  <c r="K2833" i="3"/>
  <c r="K2824" i="3"/>
  <c r="K2823" i="3"/>
  <c r="K2814" i="3"/>
  <c r="K2813" i="3"/>
  <c r="E2794" i="3"/>
  <c r="G2794" i="3" s="1"/>
  <c r="K2794" i="3" s="1"/>
  <c r="E2793" i="3"/>
  <c r="G2793" i="3" s="1"/>
  <c r="K2793" i="3" s="1"/>
  <c r="E2792" i="3"/>
  <c r="G2792" i="3" s="1"/>
  <c r="K2792" i="3" s="1"/>
  <c r="E2791" i="3"/>
  <c r="G2791" i="3" s="1"/>
  <c r="K2791" i="3" s="1"/>
  <c r="E2790" i="3"/>
  <c r="G2790" i="3" s="1"/>
  <c r="K2790" i="3" s="1"/>
  <c r="G2789" i="3"/>
  <c r="K2789" i="3" s="1"/>
  <c r="E2789" i="3"/>
  <c r="K2788" i="3"/>
  <c r="G2787" i="3"/>
  <c r="K2787" i="3" s="1"/>
  <c r="G2786" i="3"/>
  <c r="K2786" i="3" s="1"/>
  <c r="G2785" i="3"/>
  <c r="K2785" i="3" s="1"/>
  <c r="G2784" i="3"/>
  <c r="K2784" i="3" s="1"/>
  <c r="K2783" i="3"/>
  <c r="K2764" i="3"/>
  <c r="K2763" i="3"/>
  <c r="G2762" i="3"/>
  <c r="K2762" i="3" s="1"/>
  <c r="K2761" i="3"/>
  <c r="J2757" i="3"/>
  <c r="G2753" i="3"/>
  <c r="K2753" i="3" s="1"/>
  <c r="E2752" i="3"/>
  <c r="G2752" i="3" s="1"/>
  <c r="K2752" i="3" s="1"/>
  <c r="K2751" i="3"/>
  <c r="K2742" i="3"/>
  <c r="K2741" i="3"/>
  <c r="K2740" i="3"/>
  <c r="K2731" i="3"/>
  <c r="E2730" i="3"/>
  <c r="K2730" i="3" s="1"/>
  <c r="K2721" i="3"/>
  <c r="K2720" i="3"/>
  <c r="K2701" i="3"/>
  <c r="K2700" i="3"/>
  <c r="G2681" i="3"/>
  <c r="K2681" i="3" s="1"/>
  <c r="G2680" i="3"/>
  <c r="K2680" i="3" s="1"/>
  <c r="G2679" i="3"/>
  <c r="K2679" i="3" s="1"/>
  <c r="G2678" i="3"/>
  <c r="K2678" i="3" s="1"/>
  <c r="E2677" i="3"/>
  <c r="G2677" i="3" s="1"/>
  <c r="K2677" i="3" s="1"/>
  <c r="E2676" i="3"/>
  <c r="G2676" i="3" s="1"/>
  <c r="K2676" i="3" s="1"/>
  <c r="K2675" i="3"/>
  <c r="K2674" i="3"/>
  <c r="K2652" i="3"/>
  <c r="K2651" i="3"/>
  <c r="K2642" i="3"/>
  <c r="K2641" i="3"/>
  <c r="I2636" i="3"/>
  <c r="K2636" i="3" s="1"/>
  <c r="K2637" i="3" s="1"/>
  <c r="I2631" i="3"/>
  <c r="K2631" i="3" s="1"/>
  <c r="K2632" i="3" s="1"/>
  <c r="K2622" i="3"/>
  <c r="K2626" i="3" s="1"/>
  <c r="K2613" i="3"/>
  <c r="K2612" i="3"/>
  <c r="K2603" i="3"/>
  <c r="K2602" i="3"/>
  <c r="K2597" i="3"/>
  <c r="K2598" i="3" s="1"/>
  <c r="K2578" i="3"/>
  <c r="K2576" i="3"/>
  <c r="K2575" i="3"/>
  <c r="K2570" i="3"/>
  <c r="K2571" i="3" s="1"/>
  <c r="I2565" i="3"/>
  <c r="K2565" i="3" s="1"/>
  <c r="K2566" i="3" s="1"/>
  <c r="E2546" i="3"/>
  <c r="K2546" i="3" s="1"/>
  <c r="E2545" i="3"/>
  <c r="K2545" i="3" s="1"/>
  <c r="E2544" i="3"/>
  <c r="K2544" i="3" s="1"/>
  <c r="K2543" i="3"/>
  <c r="E2542" i="3"/>
  <c r="K2542" i="3" s="1"/>
  <c r="E2541" i="3"/>
  <c r="K2541" i="3" s="1"/>
  <c r="K2539" i="3"/>
  <c r="K2538" i="3"/>
  <c r="K2533" i="3"/>
  <c r="K2534" i="3" s="1"/>
  <c r="K2528" i="3"/>
  <c r="K2529" i="3" s="1"/>
  <c r="K2523" i="3"/>
  <c r="K2524" i="3" s="1"/>
  <c r="K2518" i="3"/>
  <c r="K2519" i="3" s="1"/>
  <c r="E2509" i="3"/>
  <c r="K2509" i="3" s="1"/>
  <c r="E2508" i="3"/>
  <c r="K2508" i="3" s="1"/>
  <c r="K2499" i="3"/>
  <c r="K2498" i="3"/>
  <c r="K2489" i="3"/>
  <c r="K2488" i="3"/>
  <c r="E2479" i="3"/>
  <c r="K2479" i="3" s="1"/>
  <c r="E2478" i="3"/>
  <c r="K2478" i="3" s="1"/>
  <c r="K2470" i="3"/>
  <c r="K2473" i="3" s="1"/>
  <c r="K2461" i="3"/>
  <c r="K2465" i="3" s="1"/>
  <c r="K2452" i="3"/>
  <c r="K2453" i="3" s="1"/>
  <c r="K2456" i="3" s="1"/>
  <c r="E2432" i="3"/>
  <c r="K2432" i="3" s="1"/>
  <c r="E2431" i="3"/>
  <c r="K2431" i="3" s="1"/>
  <c r="I2425" i="3"/>
  <c r="K2425" i="3" s="1"/>
  <c r="K2424" i="3"/>
  <c r="I2419" i="3"/>
  <c r="K2419" i="3" s="1"/>
  <c r="K2420" i="3" s="1"/>
  <c r="I2403" i="3"/>
  <c r="K2403" i="3" s="1"/>
  <c r="K2404" i="3" s="1"/>
  <c r="I2398" i="3"/>
  <c r="K2398" i="3" s="1"/>
  <c r="K2399" i="3" s="1"/>
  <c r="K2389" i="3"/>
  <c r="K2388" i="3"/>
  <c r="K2383" i="3"/>
  <c r="K2384" i="3" s="1"/>
  <c r="K2378" i="3"/>
  <c r="K2379" i="3" s="1"/>
  <c r="K2374" i="3"/>
  <c r="K2368" i="3"/>
  <c r="K2369" i="3" s="1"/>
  <c r="K2363" i="3"/>
  <c r="K2364" i="3" s="1"/>
  <c r="K2359" i="3"/>
  <c r="K2349" i="3"/>
  <c r="K2348" i="3"/>
  <c r="K2339" i="3"/>
  <c r="K2338" i="3"/>
  <c r="K2337" i="3"/>
  <c r="K2328" i="3"/>
  <c r="K2327" i="3"/>
  <c r="K2318" i="3"/>
  <c r="K2317" i="3"/>
  <c r="E2298" i="3"/>
  <c r="G2298" i="3" s="1"/>
  <c r="K2298" i="3" s="1"/>
  <c r="E2297" i="3"/>
  <c r="G2297" i="3" s="1"/>
  <c r="K2297" i="3" s="1"/>
  <c r="E2296" i="3"/>
  <c r="G2296" i="3" s="1"/>
  <c r="K2296" i="3" s="1"/>
  <c r="E2295" i="3"/>
  <c r="G2295" i="3" s="1"/>
  <c r="K2295" i="3" s="1"/>
  <c r="E2294" i="3"/>
  <c r="G2294" i="3" s="1"/>
  <c r="K2294" i="3" s="1"/>
  <c r="E2293" i="3"/>
  <c r="G2293" i="3" s="1"/>
  <c r="K2293" i="3" s="1"/>
  <c r="K2292" i="3"/>
  <c r="K2291" i="3"/>
  <c r="K2286" i="3"/>
  <c r="K2287" i="3" s="1"/>
  <c r="K2276" i="3"/>
  <c r="K2275" i="3"/>
  <c r="K2274" i="3"/>
  <c r="K2264" i="3"/>
  <c r="K2253" i="3"/>
  <c r="K2252" i="3"/>
  <c r="I2247" i="3"/>
  <c r="K2247" i="3" s="1"/>
  <c r="K2248" i="3" s="1"/>
  <c r="K2239" i="3"/>
  <c r="K2242" i="3" s="1"/>
  <c r="K2230" i="3"/>
  <c r="K2229" i="3"/>
  <c r="K2210" i="3"/>
  <c r="G2209" i="3"/>
  <c r="I2209" i="3" s="1"/>
  <c r="K2209" i="3" s="1"/>
  <c r="G2208" i="3"/>
  <c r="I2208" i="3" s="1"/>
  <c r="K2208" i="3" s="1"/>
  <c r="G2207" i="3"/>
  <c r="I2207" i="3" s="1"/>
  <c r="K2207" i="3" s="1"/>
  <c r="G2206" i="3"/>
  <c r="I2206" i="3" s="1"/>
  <c r="K2206" i="3" s="1"/>
  <c r="E2205" i="3"/>
  <c r="G2205" i="3" s="1"/>
  <c r="I2205" i="3" s="1"/>
  <c r="K2205" i="3" s="1"/>
  <c r="E2204" i="3"/>
  <c r="G2204" i="3" s="1"/>
  <c r="I2204" i="3" s="1"/>
  <c r="K2203" i="3"/>
  <c r="K2193" i="3"/>
  <c r="K2194" i="3" s="1"/>
  <c r="K2188" i="3"/>
  <c r="K2189" i="3" s="1"/>
  <c r="K2169" i="3"/>
  <c r="E2168" i="3"/>
  <c r="I2168" i="3" s="1"/>
  <c r="K2168" i="3" s="1"/>
  <c r="E2167" i="3"/>
  <c r="I2167" i="3" s="1"/>
  <c r="K2167" i="3" s="1"/>
  <c r="E2166" i="3"/>
  <c r="I2166" i="3" s="1"/>
  <c r="K2166" i="3" s="1"/>
  <c r="G2165" i="3"/>
  <c r="E2165" i="3"/>
  <c r="E2164" i="3"/>
  <c r="I2164" i="3" s="1"/>
  <c r="K2164" i="3" s="1"/>
  <c r="G2163" i="3"/>
  <c r="E2163" i="3"/>
  <c r="K2162" i="3"/>
  <c r="K2148" i="3"/>
  <c r="K2138" i="3"/>
  <c r="K2137" i="3"/>
  <c r="K2136" i="3"/>
  <c r="K2127" i="3"/>
  <c r="K2126" i="3"/>
  <c r="K2125" i="3"/>
  <c r="K2105" i="3"/>
  <c r="K2104" i="3"/>
  <c r="I2097" i="3"/>
  <c r="K2097" i="3" s="1"/>
  <c r="I2096" i="3"/>
  <c r="K2096" i="3" s="1"/>
  <c r="J2092" i="3"/>
  <c r="K2091" i="3"/>
  <c r="K2069" i="3"/>
  <c r="E2068" i="3"/>
  <c r="E2067" i="3"/>
  <c r="G2066" i="3"/>
  <c r="K2066" i="3" s="1"/>
  <c r="K2065" i="3"/>
  <c r="I2055" i="3"/>
  <c r="K2055" i="3" s="1"/>
  <c r="K2056" i="3" s="1"/>
  <c r="J2034" i="3"/>
  <c r="K2034" i="3" s="1"/>
  <c r="J2033" i="3"/>
  <c r="G2033" i="3"/>
  <c r="I2025" i="3"/>
  <c r="K2025" i="3" s="1"/>
  <c r="I2024" i="3"/>
  <c r="K2024" i="3" s="1"/>
  <c r="I2016" i="3"/>
  <c r="K2016" i="3" s="1"/>
  <c r="K2011" i="3"/>
  <c r="I1991" i="3"/>
  <c r="K1991" i="3" s="1"/>
  <c r="E1990" i="3"/>
  <c r="I1990" i="3" s="1"/>
  <c r="K1990" i="3" s="1"/>
  <c r="E1989" i="3"/>
  <c r="I1989" i="3" s="1"/>
  <c r="K1989" i="3" s="1"/>
  <c r="E1988" i="3"/>
  <c r="I1988" i="3" s="1"/>
  <c r="K1988" i="3" s="1"/>
  <c r="G1987" i="3"/>
  <c r="I1987" i="3" s="1"/>
  <c r="K1987" i="3" s="1"/>
  <c r="G1986" i="3"/>
  <c r="I1986" i="3" s="1"/>
  <c r="K1986" i="3" s="1"/>
  <c r="E1985" i="3"/>
  <c r="G1985" i="3" s="1"/>
  <c r="I1985" i="3" s="1"/>
  <c r="K1985" i="3" s="1"/>
  <c r="E1984" i="3"/>
  <c r="G1984" i="3" s="1"/>
  <c r="I1984" i="3" s="1"/>
  <c r="K1984" i="3" s="1"/>
  <c r="G1983" i="3"/>
  <c r="I1983" i="3" s="1"/>
  <c r="K1983" i="3" s="1"/>
  <c r="I1982" i="3"/>
  <c r="K1982" i="3" s="1"/>
  <c r="I1981" i="3"/>
  <c r="K1981" i="3" s="1"/>
  <c r="E1962" i="3"/>
  <c r="I1962" i="3" s="1"/>
  <c r="K1962" i="3" s="1"/>
  <c r="E1961" i="3"/>
  <c r="I1961" i="3" s="1"/>
  <c r="K1961" i="3" s="1"/>
  <c r="E1960" i="3"/>
  <c r="I1960" i="3" s="1"/>
  <c r="K1960" i="3" s="1"/>
  <c r="I1959" i="3"/>
  <c r="K1959" i="3" s="1"/>
  <c r="G1958" i="3"/>
  <c r="I1958" i="3" s="1"/>
  <c r="K1958" i="3" s="1"/>
  <c r="G1957" i="3"/>
  <c r="I1957" i="3" s="1"/>
  <c r="K1957" i="3" s="1"/>
  <c r="E1956" i="3"/>
  <c r="G1956" i="3" s="1"/>
  <c r="I1956" i="3" s="1"/>
  <c r="K1956" i="3" s="1"/>
  <c r="E1955" i="3"/>
  <c r="G1955" i="3" s="1"/>
  <c r="I1955" i="3" s="1"/>
  <c r="K1955" i="3" s="1"/>
  <c r="G1954" i="3"/>
  <c r="I1954" i="3" s="1"/>
  <c r="K1954" i="3" s="1"/>
  <c r="I1953" i="3"/>
  <c r="K1953" i="3" s="1"/>
  <c r="E1952" i="3"/>
  <c r="I1952" i="3" s="1"/>
  <c r="K1952" i="3" s="1"/>
  <c r="E1933" i="3"/>
  <c r="K1933" i="3" s="1"/>
  <c r="E1932" i="3"/>
  <c r="K1932" i="3" s="1"/>
  <c r="K1931" i="3"/>
  <c r="E1930" i="3"/>
  <c r="I1930" i="3" s="1"/>
  <c r="K1930" i="3" s="1"/>
  <c r="I1929" i="3"/>
  <c r="K1929" i="3" s="1"/>
  <c r="I1928" i="3"/>
  <c r="K1928" i="3" s="1"/>
  <c r="I1927" i="3"/>
  <c r="K1927" i="3" s="1"/>
  <c r="I1926" i="3"/>
  <c r="K1926" i="3" s="1"/>
  <c r="I1925" i="3"/>
  <c r="K1925" i="3" s="1"/>
  <c r="G1924" i="3"/>
  <c r="E1924" i="3"/>
  <c r="G1923" i="3"/>
  <c r="E1923" i="3"/>
  <c r="G1922" i="3"/>
  <c r="K1922" i="3" s="1"/>
  <c r="E1921" i="3"/>
  <c r="K1921" i="3" s="1"/>
  <c r="E1902" i="3"/>
  <c r="I1902" i="3" s="1"/>
  <c r="K1902" i="3" s="1"/>
  <c r="E1901" i="3"/>
  <c r="I1901" i="3" s="1"/>
  <c r="K1901" i="3" s="1"/>
  <c r="E1900" i="3"/>
  <c r="I1900" i="3" s="1"/>
  <c r="K1900" i="3" s="1"/>
  <c r="E1899" i="3"/>
  <c r="I1899" i="3" s="1"/>
  <c r="K1899" i="3" s="1"/>
  <c r="G1898" i="3"/>
  <c r="I1898" i="3" s="1"/>
  <c r="K1898" i="3" s="1"/>
  <c r="G1897" i="3"/>
  <c r="I1897" i="3" s="1"/>
  <c r="K1897" i="3" s="1"/>
  <c r="I1896" i="3"/>
  <c r="K1896" i="3" s="1"/>
  <c r="E1895" i="3"/>
  <c r="I1895" i="3" s="1"/>
  <c r="K1895" i="3" s="1"/>
  <c r="E1876" i="3"/>
  <c r="K1876" i="3" s="1"/>
  <c r="E1875" i="3"/>
  <c r="K1875" i="3" s="1"/>
  <c r="K1874" i="3"/>
  <c r="G1873" i="3"/>
  <c r="E1873" i="3"/>
  <c r="G1872" i="3"/>
  <c r="E1872" i="3"/>
  <c r="K1871" i="3"/>
  <c r="G1871" i="3"/>
  <c r="E1870" i="3"/>
  <c r="K1870" i="3" s="1"/>
  <c r="E1851" i="3"/>
  <c r="K1851" i="3" s="1"/>
  <c r="E1850" i="3"/>
  <c r="K1850" i="3" s="1"/>
  <c r="K1849" i="3"/>
  <c r="I1848" i="3"/>
  <c r="K1848" i="3" s="1"/>
  <c r="I1847" i="3"/>
  <c r="K1847" i="3" s="1"/>
  <c r="I1846" i="3"/>
  <c r="K1846" i="3" s="1"/>
  <c r="I1845" i="3"/>
  <c r="K1845" i="3" s="1"/>
  <c r="I1844" i="3"/>
  <c r="K1844" i="3" s="1"/>
  <c r="I1843" i="3"/>
  <c r="K1843" i="3" s="1"/>
  <c r="E1842" i="3"/>
  <c r="E1841" i="3"/>
  <c r="G1840" i="3"/>
  <c r="K1840" i="3" s="1"/>
  <c r="K1839" i="3"/>
  <c r="E1830" i="3"/>
  <c r="I1830" i="3" s="1"/>
  <c r="K1830" i="3" s="1"/>
  <c r="E1829" i="3"/>
  <c r="I1829" i="3" s="1"/>
  <c r="K1829" i="3" s="1"/>
  <c r="E1828" i="3"/>
  <c r="I1828" i="3" s="1"/>
  <c r="K1828" i="3" s="1"/>
  <c r="E1827" i="3"/>
  <c r="I1827" i="3" s="1"/>
  <c r="K1827" i="3" s="1"/>
  <c r="G1826" i="3"/>
  <c r="I1826" i="3" s="1"/>
  <c r="K1826" i="3" s="1"/>
  <c r="G1825" i="3"/>
  <c r="I1825" i="3" s="1"/>
  <c r="K1825" i="3" s="1"/>
  <c r="G1824" i="3"/>
  <c r="E1824" i="3"/>
  <c r="E1823" i="3"/>
  <c r="I1822" i="3"/>
  <c r="K1822" i="3" s="1"/>
  <c r="G1822" i="3"/>
  <c r="I1821" i="3"/>
  <c r="K1821" i="3" s="1"/>
  <c r="I1820" i="3"/>
  <c r="K1820" i="3" s="1"/>
  <c r="E1801" i="3"/>
  <c r="I1801" i="3" s="1"/>
  <c r="K1801" i="3" s="1"/>
  <c r="E1800" i="3"/>
  <c r="I1800" i="3" s="1"/>
  <c r="K1800" i="3" s="1"/>
  <c r="E1799" i="3"/>
  <c r="I1799" i="3" s="1"/>
  <c r="K1799" i="3" s="1"/>
  <c r="E1798" i="3"/>
  <c r="I1798" i="3" s="1"/>
  <c r="K1798" i="3" s="1"/>
  <c r="G1797" i="3"/>
  <c r="I1797" i="3" s="1"/>
  <c r="K1797" i="3" s="1"/>
  <c r="G1796" i="3"/>
  <c r="I1796" i="3" s="1"/>
  <c r="K1796" i="3" s="1"/>
  <c r="G1795" i="3"/>
  <c r="E1795" i="3"/>
  <c r="E1794" i="3"/>
  <c r="K1793" i="3"/>
  <c r="I1792" i="3"/>
  <c r="K1792" i="3" s="1"/>
  <c r="I1791" i="3"/>
  <c r="K1791" i="3" s="1"/>
  <c r="I1785" i="3"/>
  <c r="K1785" i="3" s="1"/>
  <c r="I1784" i="3"/>
  <c r="K1784" i="3" s="1"/>
  <c r="I1782" i="3"/>
  <c r="K1782" i="3" s="1"/>
  <c r="I1776" i="3"/>
  <c r="K1776" i="3" s="1"/>
  <c r="I1775" i="3"/>
  <c r="K1775" i="3" s="1"/>
  <c r="I1773" i="3"/>
  <c r="K1773" i="3" s="1"/>
  <c r="K1764" i="3"/>
  <c r="G1763" i="3"/>
  <c r="K1763" i="3" s="1"/>
  <c r="K1762" i="3"/>
  <c r="K1761" i="3"/>
  <c r="K1752" i="3"/>
  <c r="G1751" i="3"/>
  <c r="K1751" i="3" s="1"/>
  <c r="K1750" i="3"/>
  <c r="K1749" i="3"/>
  <c r="K1730" i="3"/>
  <c r="K1729" i="3"/>
  <c r="K1728" i="3"/>
  <c r="K1727" i="3"/>
  <c r="K1708" i="3"/>
  <c r="K1707" i="3"/>
  <c r="E1698" i="3"/>
  <c r="K1689" i="3"/>
  <c r="E1688" i="3"/>
  <c r="K1688" i="3" s="1"/>
  <c r="E1687" i="3"/>
  <c r="K1687" i="3" s="1"/>
  <c r="G1686" i="3"/>
  <c r="K1686" i="3" s="1"/>
  <c r="K1685" i="3"/>
  <c r="K1676" i="3"/>
  <c r="K1675" i="3"/>
  <c r="G1668" i="3"/>
  <c r="G1666" i="3"/>
  <c r="K1661" i="3"/>
  <c r="K1662" i="3" s="1"/>
  <c r="H1652" i="3"/>
  <c r="K1652" i="3" s="1"/>
  <c r="E1651" i="3"/>
  <c r="H1651" i="3" s="1"/>
  <c r="K1651" i="3" s="1"/>
  <c r="K1650" i="3"/>
  <c r="K1649" i="3"/>
  <c r="K1640" i="3"/>
  <c r="E1639" i="3"/>
  <c r="K1639" i="3" s="1"/>
  <c r="K1638" i="3"/>
  <c r="E1637" i="3"/>
  <c r="G1636" i="3"/>
  <c r="K1636" i="3" s="1"/>
  <c r="K1635" i="3"/>
  <c r="J1631" i="3"/>
  <c r="E1626" i="3"/>
  <c r="H1626" i="3" s="1"/>
  <c r="K1626" i="3" s="1"/>
  <c r="E1625" i="3"/>
  <c r="H1625" i="3" s="1"/>
  <c r="K1625" i="3" s="1"/>
  <c r="K1624" i="3"/>
  <c r="E1623" i="3"/>
  <c r="K1623" i="3" s="1"/>
  <c r="H1614" i="3"/>
  <c r="K1614" i="3" s="1"/>
  <c r="H1613" i="3"/>
  <c r="K1613" i="3" s="1"/>
  <c r="K1612" i="3"/>
  <c r="E1611" i="3"/>
  <c r="G1610" i="3"/>
  <c r="K1610" i="3" s="1"/>
  <c r="K1609" i="3"/>
  <c r="K1600" i="3"/>
  <c r="K1599" i="3"/>
  <c r="K1590" i="3"/>
  <c r="G1589" i="3"/>
  <c r="K1589" i="3" s="1"/>
  <c r="K1588" i="3"/>
  <c r="K1579" i="3"/>
  <c r="G1578" i="3"/>
  <c r="K1578" i="3" s="1"/>
  <c r="K1577" i="3"/>
  <c r="K1568" i="3"/>
  <c r="G1567" i="3"/>
  <c r="K1567" i="3" s="1"/>
  <c r="K1566" i="3"/>
  <c r="I1547" i="3"/>
  <c r="K1547" i="3" s="1"/>
  <c r="I1546" i="3"/>
  <c r="K1546" i="3" s="1"/>
  <c r="I1545" i="3"/>
  <c r="K1545" i="3" s="1"/>
  <c r="G1544" i="3"/>
  <c r="E1543" i="3"/>
  <c r="I1543" i="3" s="1"/>
  <c r="K1543" i="3" s="1"/>
  <c r="E1542" i="3"/>
  <c r="I1542" i="3" s="1"/>
  <c r="K1542" i="3" s="1"/>
  <c r="I1540" i="3"/>
  <c r="K1540" i="3" s="1"/>
  <c r="I1539" i="3"/>
  <c r="K1539" i="3" s="1"/>
  <c r="G1530" i="3"/>
  <c r="K1530" i="3" s="1"/>
  <c r="G1529" i="3"/>
  <c r="E1510" i="3"/>
  <c r="G1510" i="3" s="1"/>
  <c r="K1510" i="3" s="1"/>
  <c r="E1509" i="3"/>
  <c r="G1509" i="3" s="1"/>
  <c r="K1509" i="3" s="1"/>
  <c r="G1508" i="3"/>
  <c r="K1508" i="3" s="1"/>
  <c r="K1507" i="3"/>
  <c r="K1493" i="3"/>
  <c r="K1488" i="3"/>
  <c r="K1483" i="3"/>
  <c r="K1474" i="3"/>
  <c r="K1477" i="3" s="1"/>
  <c r="I1469" i="3"/>
  <c r="K1469" i="3" s="1"/>
  <c r="K1470" i="3" s="1"/>
  <c r="I1464" i="3"/>
  <c r="K1464" i="3" s="1"/>
  <c r="K1465" i="3" s="1"/>
  <c r="K1455" i="3"/>
  <c r="E1454" i="3"/>
  <c r="K1454" i="3" s="1"/>
  <c r="K1453" i="3"/>
  <c r="G1452" i="3"/>
  <c r="K1452" i="3" s="1"/>
  <c r="K1451" i="3"/>
  <c r="K1432" i="3"/>
  <c r="E1431" i="3"/>
  <c r="K1431" i="3" s="1"/>
  <c r="K1430" i="3"/>
  <c r="G1429" i="3"/>
  <c r="K1429" i="3" s="1"/>
  <c r="K1428" i="3"/>
  <c r="G1428" i="3"/>
  <c r="K1427" i="3"/>
  <c r="K1418" i="3"/>
  <c r="E1417" i="3"/>
  <c r="K1417" i="3" s="1"/>
  <c r="K1416" i="3"/>
  <c r="G1415" i="3"/>
  <c r="K1415" i="3" s="1"/>
  <c r="K1414" i="3"/>
  <c r="G1414" i="3"/>
  <c r="K1413" i="3"/>
  <c r="K1404" i="3"/>
  <c r="G1403" i="3"/>
  <c r="K1403" i="3" s="1"/>
  <c r="K1402" i="3"/>
  <c r="H1384" i="3"/>
  <c r="K1384" i="3" s="1"/>
  <c r="H1383" i="3"/>
  <c r="K1383" i="3" s="1"/>
  <c r="H1382" i="3"/>
  <c r="K1382" i="3" s="1"/>
  <c r="H1381" i="3"/>
  <c r="K1381" i="3" s="1"/>
  <c r="H1380" i="3"/>
  <c r="K1380" i="3" s="1"/>
  <c r="H1379" i="3"/>
  <c r="K1379" i="3" s="1"/>
  <c r="E1378" i="3"/>
  <c r="H1378" i="3" s="1"/>
  <c r="K1378" i="3" s="1"/>
  <c r="E1377" i="3"/>
  <c r="H1377" i="3" s="1"/>
  <c r="K1377" i="3" s="1"/>
  <c r="H1376" i="3"/>
  <c r="K1376" i="3" s="1"/>
  <c r="H1375" i="3"/>
  <c r="K1371" i="3"/>
  <c r="I1359" i="3"/>
  <c r="K1359" i="3" s="1"/>
  <c r="K1353" i="3"/>
  <c r="K1354" i="3" s="1"/>
  <c r="K1348" i="3"/>
  <c r="K1349" i="3" s="1"/>
  <c r="K1343" i="3"/>
  <c r="K1344" i="3" s="1"/>
  <c r="K1338" i="3"/>
  <c r="K1339" i="3" s="1"/>
  <c r="K1333" i="3"/>
  <c r="K1334" i="3" s="1"/>
  <c r="I1314" i="3"/>
  <c r="K1314" i="3" s="1"/>
  <c r="G1313" i="3"/>
  <c r="I1313" i="3" s="1"/>
  <c r="K1313" i="3" s="1"/>
  <c r="I1312" i="3"/>
  <c r="K1312" i="3" s="1"/>
  <c r="I1311" i="3"/>
  <c r="K1311" i="3" s="1"/>
  <c r="K1307" i="3"/>
  <c r="I1297" i="3"/>
  <c r="K1297" i="3" s="1"/>
  <c r="K1298" i="3" s="1"/>
  <c r="I1278" i="3"/>
  <c r="K1278" i="3" s="1"/>
  <c r="I1277" i="3"/>
  <c r="K1277" i="3" s="1"/>
  <c r="I1276" i="3"/>
  <c r="K1276" i="3" s="1"/>
  <c r="G1275" i="3"/>
  <c r="E1274" i="3"/>
  <c r="I1274" i="3" s="1"/>
  <c r="K1274" i="3" s="1"/>
  <c r="G1273" i="3"/>
  <c r="E1273" i="3"/>
  <c r="I1271" i="3"/>
  <c r="K1271" i="3" s="1"/>
  <c r="E1270" i="3"/>
  <c r="I1270" i="3" s="1"/>
  <c r="K1270" i="3" s="1"/>
  <c r="I1269" i="3"/>
  <c r="K1269" i="3" s="1"/>
  <c r="I1268" i="3"/>
  <c r="K1268" i="3" s="1"/>
  <c r="I1259" i="3"/>
  <c r="K1259" i="3" s="1"/>
  <c r="I1258" i="3"/>
  <c r="K1258" i="3" s="1"/>
  <c r="I1257" i="3"/>
  <c r="K1257" i="3" s="1"/>
  <c r="G1256" i="3"/>
  <c r="E1255" i="3"/>
  <c r="I1255" i="3" s="1"/>
  <c r="K1255" i="3" s="1"/>
  <c r="G1254" i="3"/>
  <c r="E1254" i="3"/>
  <c r="I1253" i="3"/>
  <c r="K1253" i="3" s="1"/>
  <c r="I1252" i="3"/>
  <c r="K1252" i="3" s="1"/>
  <c r="E1251" i="3"/>
  <c r="I1251" i="3" s="1"/>
  <c r="K1251" i="3" s="1"/>
  <c r="I1250" i="3"/>
  <c r="K1250" i="3" s="1"/>
  <c r="I1249" i="3"/>
  <c r="K1249" i="3" s="1"/>
  <c r="K1240" i="3"/>
  <c r="K1239" i="3"/>
  <c r="G1238" i="3"/>
  <c r="K1237" i="3"/>
  <c r="I1218" i="3"/>
  <c r="K1218" i="3" s="1"/>
  <c r="I1217" i="3"/>
  <c r="K1217" i="3" s="1"/>
  <c r="I1216" i="3"/>
  <c r="K1216" i="3" s="1"/>
  <c r="G1215" i="3"/>
  <c r="E1214" i="3"/>
  <c r="I1214" i="3" s="1"/>
  <c r="K1214" i="3" s="1"/>
  <c r="G1213" i="3"/>
  <c r="E1213" i="3"/>
  <c r="I1212" i="3"/>
  <c r="K1212" i="3" s="1"/>
  <c r="I1211" i="3"/>
  <c r="K1211" i="3" s="1"/>
  <c r="E1210" i="3"/>
  <c r="I1210" i="3" s="1"/>
  <c r="K1210" i="3" s="1"/>
  <c r="K1209" i="3"/>
  <c r="K1208" i="3"/>
  <c r="I1189" i="3"/>
  <c r="K1189" i="3" s="1"/>
  <c r="I1188" i="3"/>
  <c r="K1188" i="3" s="1"/>
  <c r="I1187" i="3"/>
  <c r="K1187" i="3" s="1"/>
  <c r="I1186" i="3"/>
  <c r="K1186" i="3" s="1"/>
  <c r="E1185" i="3"/>
  <c r="I1185" i="3" s="1"/>
  <c r="K1185" i="3" s="1"/>
  <c r="E1184" i="3"/>
  <c r="I1184" i="3" s="1"/>
  <c r="K1184" i="3" s="1"/>
  <c r="I1183" i="3"/>
  <c r="K1183" i="3" s="1"/>
  <c r="I1182" i="3"/>
  <c r="K1182" i="3" s="1"/>
  <c r="E1181" i="3"/>
  <c r="I1181" i="3" s="1"/>
  <c r="K1181" i="3" s="1"/>
  <c r="I1180" i="3"/>
  <c r="K1180" i="3" s="1"/>
  <c r="I1179" i="3"/>
  <c r="K1179" i="3" s="1"/>
  <c r="I1174" i="3"/>
  <c r="K1174" i="3" s="1"/>
  <c r="K1175" i="3" s="1"/>
  <c r="I1169" i="3"/>
  <c r="K1169" i="3" s="1"/>
  <c r="K1170" i="3" s="1"/>
  <c r="K1164" i="3"/>
  <c r="K1165" i="3" s="1"/>
  <c r="I1159" i="3"/>
  <c r="K1159" i="3" s="1"/>
  <c r="K1160" i="3" s="1"/>
  <c r="K1155" i="3"/>
  <c r="K1135" i="3"/>
  <c r="K1134" i="3"/>
  <c r="G1133" i="3"/>
  <c r="K1133" i="3" s="1"/>
  <c r="G1132" i="3"/>
  <c r="K1132" i="3" s="1"/>
  <c r="K1130" i="3"/>
  <c r="K1129" i="3"/>
  <c r="K1128" i="3"/>
  <c r="K1123" i="3"/>
  <c r="K1124" i="3" s="1"/>
  <c r="J1119" i="3"/>
  <c r="G1114" i="3"/>
  <c r="E1114" i="3"/>
  <c r="G1113" i="3"/>
  <c r="G1112" i="3"/>
  <c r="K1112" i="3" s="1"/>
  <c r="E1111" i="3"/>
  <c r="K1111" i="3" s="1"/>
  <c r="G1110" i="3"/>
  <c r="K1110" i="3" s="1"/>
  <c r="K1109" i="3"/>
  <c r="J1105" i="3"/>
  <c r="E1103" i="3"/>
  <c r="E1102" i="3"/>
  <c r="I1101" i="3"/>
  <c r="G1101" i="3"/>
  <c r="I1100" i="3"/>
  <c r="G1100" i="3"/>
  <c r="J1096" i="3"/>
  <c r="E1094" i="3"/>
  <c r="E1093" i="3"/>
  <c r="G1092" i="3"/>
  <c r="E1092" i="3"/>
  <c r="I1091" i="3"/>
  <c r="G1091" i="3"/>
  <c r="I1090" i="3"/>
  <c r="E1073" i="3"/>
  <c r="E1072" i="3"/>
  <c r="I1071" i="3"/>
  <c r="I1070" i="3"/>
  <c r="E1069" i="3"/>
  <c r="E1068" i="3"/>
  <c r="I1067" i="3"/>
  <c r="G1067" i="3"/>
  <c r="I1066" i="3"/>
  <c r="I1065" i="3"/>
  <c r="J1043" i="3"/>
  <c r="E1043" i="3"/>
  <c r="G1043" i="3" s="1"/>
  <c r="J1042" i="3"/>
  <c r="E1042" i="3"/>
  <c r="G1042" i="3" s="1"/>
  <c r="E1036" i="3"/>
  <c r="E1035" i="3"/>
  <c r="I1034" i="3"/>
  <c r="I1028" i="3"/>
  <c r="G1028" i="3"/>
  <c r="E1028" i="3"/>
  <c r="E1027" i="3"/>
  <c r="E1026" i="3"/>
  <c r="E1025" i="3"/>
  <c r="I1024" i="3"/>
  <c r="I1023" i="3"/>
  <c r="G1023" i="3"/>
  <c r="I1022" i="3"/>
  <c r="I1021" i="3"/>
  <c r="I1020" i="3"/>
  <c r="G1020" i="3"/>
  <c r="I1019" i="3"/>
  <c r="I1018" i="3"/>
  <c r="G1018" i="3"/>
  <c r="E1018" i="3"/>
  <c r="I1017" i="3"/>
  <c r="G1017" i="3"/>
  <c r="E1017" i="3"/>
  <c r="I1016" i="3"/>
  <c r="G1016" i="3"/>
  <c r="I1015" i="3"/>
  <c r="I1014" i="3"/>
  <c r="I1013" i="3"/>
  <c r="G1013" i="3"/>
  <c r="G1006" i="3"/>
  <c r="E1006" i="3"/>
  <c r="E1005" i="3"/>
  <c r="I1004" i="3"/>
  <c r="I1003" i="3"/>
  <c r="I1002" i="3"/>
  <c r="I1001" i="3"/>
  <c r="I1000" i="3"/>
  <c r="G1000" i="3"/>
  <c r="I999" i="3"/>
  <c r="I998" i="3"/>
  <c r="I997" i="3"/>
  <c r="G997" i="3"/>
  <c r="I990" i="3"/>
  <c r="G990" i="3"/>
  <c r="I989" i="3"/>
  <c r="E989" i="3"/>
  <c r="E988" i="3"/>
  <c r="E987" i="3"/>
  <c r="E986" i="3"/>
  <c r="I985" i="3"/>
  <c r="I984" i="3"/>
  <c r="G984" i="3"/>
  <c r="I983" i="3"/>
  <c r="I982" i="3"/>
  <c r="I981" i="3"/>
  <c r="G981" i="3"/>
  <c r="I980" i="3"/>
  <c r="I979" i="3"/>
  <c r="I978" i="3"/>
  <c r="G978" i="3"/>
  <c r="E971" i="3"/>
  <c r="I970" i="3"/>
  <c r="I969" i="3"/>
  <c r="G969" i="3"/>
  <c r="I968" i="3"/>
  <c r="I962" i="3"/>
  <c r="I961" i="3"/>
  <c r="G961" i="3"/>
  <c r="I960" i="3"/>
  <c r="E960" i="3"/>
  <c r="E959" i="3"/>
  <c r="E958" i="3"/>
  <c r="E957" i="3"/>
  <c r="I956" i="3"/>
  <c r="I955" i="3"/>
  <c r="I954" i="3"/>
  <c r="I953" i="3"/>
  <c r="I952" i="3"/>
  <c r="G952" i="3"/>
  <c r="E952" i="3"/>
  <c r="I951" i="3"/>
  <c r="G951" i="3"/>
  <c r="I950" i="3"/>
  <c r="I949" i="3"/>
  <c r="I948" i="3"/>
  <c r="G948" i="3"/>
  <c r="E941" i="3"/>
  <c r="I940" i="3"/>
  <c r="I939" i="3"/>
  <c r="E938" i="3"/>
  <c r="I932" i="3"/>
  <c r="E932" i="3"/>
  <c r="E931" i="3"/>
  <c r="E930" i="3"/>
  <c r="E929" i="3"/>
  <c r="I928" i="3"/>
  <c r="I927" i="3"/>
  <c r="I926" i="3"/>
  <c r="I925" i="3"/>
  <c r="I924" i="3"/>
  <c r="G924" i="3"/>
  <c r="I923" i="3"/>
  <c r="I922" i="3"/>
  <c r="G922" i="3"/>
  <c r="E922" i="3"/>
  <c r="I921" i="3"/>
  <c r="G921" i="3"/>
  <c r="E921" i="3"/>
  <c r="I920" i="3"/>
  <c r="G920" i="3"/>
  <c r="I919" i="3"/>
  <c r="I918" i="3"/>
  <c r="I917" i="3"/>
  <c r="G917" i="3"/>
  <c r="I910" i="3"/>
  <c r="E910" i="3"/>
  <c r="E909" i="3"/>
  <c r="I908" i="3"/>
  <c r="G908" i="3"/>
  <c r="E907" i="3"/>
  <c r="I906" i="3"/>
  <c r="G906" i="3"/>
  <c r="E906" i="3"/>
  <c r="E905" i="3"/>
  <c r="E904" i="3"/>
  <c r="I903" i="3"/>
  <c r="I902" i="3"/>
  <c r="I901" i="3"/>
  <c r="I900" i="3"/>
  <c r="I899" i="3"/>
  <c r="G899" i="3"/>
  <c r="I893" i="3"/>
  <c r="G893" i="3"/>
  <c r="E892" i="3"/>
  <c r="E891" i="3"/>
  <c r="I890" i="3"/>
  <c r="G890" i="3"/>
  <c r="I889" i="3"/>
  <c r="G889" i="3"/>
  <c r="I888" i="3"/>
  <c r="I887" i="3"/>
  <c r="I886" i="3"/>
  <c r="G886" i="3"/>
  <c r="I885" i="3"/>
  <c r="I884" i="3"/>
  <c r="G884" i="3"/>
  <c r="E884" i="3"/>
  <c r="I883" i="3"/>
  <c r="G883" i="3"/>
  <c r="E883" i="3"/>
  <c r="I882" i="3"/>
  <c r="G882" i="3"/>
  <c r="I881" i="3"/>
  <c r="I880" i="3"/>
  <c r="I879" i="3"/>
  <c r="G879" i="3"/>
  <c r="E872" i="3"/>
  <c r="E871" i="3"/>
  <c r="I870" i="3"/>
  <c r="G870" i="3"/>
  <c r="I869" i="3"/>
  <c r="I868" i="3"/>
  <c r="G868" i="3"/>
  <c r="I867" i="3"/>
  <c r="I866" i="3"/>
  <c r="I865" i="3"/>
  <c r="G865" i="3"/>
  <c r="G857" i="3"/>
  <c r="E857" i="3"/>
  <c r="I856" i="3"/>
  <c r="G856" i="3"/>
  <c r="I855" i="3"/>
  <c r="I854" i="3"/>
  <c r="I853" i="3"/>
  <c r="I852" i="3"/>
  <c r="G852" i="3"/>
  <c r="I834" i="3"/>
  <c r="E834" i="3"/>
  <c r="E833" i="3"/>
  <c r="I832" i="3"/>
  <c r="G832" i="3"/>
  <c r="E831" i="3"/>
  <c r="I830" i="3"/>
  <c r="G830" i="3"/>
  <c r="E829" i="3"/>
  <c r="I828" i="3"/>
  <c r="G828" i="3"/>
  <c r="I827" i="3"/>
  <c r="I826" i="3"/>
  <c r="I825" i="3"/>
  <c r="I824" i="3"/>
  <c r="G824" i="3"/>
  <c r="I823" i="3"/>
  <c r="I822" i="3"/>
  <c r="G822" i="3"/>
  <c r="E822" i="3"/>
  <c r="I821" i="3"/>
  <c r="G821" i="3"/>
  <c r="E821" i="3"/>
  <c r="I820" i="3"/>
  <c r="G820" i="3"/>
  <c r="I819" i="3"/>
  <c r="I818" i="3"/>
  <c r="I817" i="3"/>
  <c r="G817" i="3"/>
  <c r="I810" i="3"/>
  <c r="E810" i="3"/>
  <c r="E809" i="3"/>
  <c r="I808" i="3"/>
  <c r="E807" i="3"/>
  <c r="I806" i="3"/>
  <c r="G806" i="3"/>
  <c r="E805" i="3"/>
  <c r="I804" i="3"/>
  <c r="I803" i="3"/>
  <c r="I802" i="3"/>
  <c r="I801" i="3"/>
  <c r="I800" i="3"/>
  <c r="G800" i="3"/>
  <c r="I799" i="3"/>
  <c r="I798" i="3"/>
  <c r="G798" i="3"/>
  <c r="E798" i="3"/>
  <c r="I797" i="3"/>
  <c r="G797" i="3"/>
  <c r="E797" i="3"/>
  <c r="I796" i="3"/>
  <c r="G796" i="3"/>
  <c r="I795" i="3"/>
  <c r="I794" i="3"/>
  <c r="I793" i="3"/>
  <c r="G793" i="3"/>
  <c r="E786" i="3"/>
  <c r="E785" i="3"/>
  <c r="I784" i="3"/>
  <c r="G784" i="3"/>
  <c r="I783" i="3"/>
  <c r="G783" i="3"/>
  <c r="E782" i="3"/>
  <c r="I781" i="3"/>
  <c r="G781" i="3"/>
  <c r="I780" i="3"/>
  <c r="I779" i="3"/>
  <c r="I778" i="3"/>
  <c r="I777" i="3"/>
  <c r="G777" i="3"/>
  <c r="I776" i="3"/>
  <c r="I775" i="3"/>
  <c r="G775" i="3"/>
  <c r="E775" i="3"/>
  <c r="I774" i="3"/>
  <c r="I773" i="3"/>
  <c r="I772" i="3"/>
  <c r="G772" i="3"/>
  <c r="E765" i="3"/>
  <c r="E764" i="3"/>
  <c r="E757" i="3"/>
  <c r="E756" i="3"/>
  <c r="I755" i="3"/>
  <c r="G755" i="3"/>
  <c r="I754" i="3"/>
  <c r="G754" i="3"/>
  <c r="E753" i="3"/>
  <c r="I752" i="3"/>
  <c r="G752" i="3"/>
  <c r="I751" i="3"/>
  <c r="G751" i="3"/>
  <c r="I750" i="3"/>
  <c r="I749" i="3"/>
  <c r="I748" i="3"/>
  <c r="I747" i="3"/>
  <c r="I746" i="3"/>
  <c r="G746" i="3"/>
  <c r="E746" i="3"/>
  <c r="I745" i="3"/>
  <c r="G745" i="3"/>
  <c r="E745" i="3"/>
  <c r="I744" i="3"/>
  <c r="G744" i="3"/>
  <c r="I743" i="3"/>
  <c r="I742" i="3"/>
  <c r="I741" i="3"/>
  <c r="G741" i="3"/>
  <c r="E734" i="3"/>
  <c r="E733" i="3"/>
  <c r="I732" i="3"/>
  <c r="G732" i="3"/>
  <c r="E731" i="3"/>
  <c r="I730" i="3"/>
  <c r="G730" i="3"/>
  <c r="I729" i="3"/>
  <c r="I728" i="3"/>
  <c r="I727" i="3"/>
  <c r="I726" i="3"/>
  <c r="G726" i="3"/>
  <c r="E719" i="3"/>
  <c r="E718" i="3"/>
  <c r="I717" i="3"/>
  <c r="G717" i="3"/>
  <c r="E716" i="3"/>
  <c r="I715" i="3"/>
  <c r="G715" i="3"/>
  <c r="I714" i="3"/>
  <c r="I713" i="3"/>
  <c r="I712" i="3"/>
  <c r="I711" i="3"/>
  <c r="G711" i="3"/>
  <c r="I710" i="3"/>
  <c r="I709" i="3"/>
  <c r="G709" i="3"/>
  <c r="E709" i="3"/>
  <c r="I708" i="3"/>
  <c r="G708" i="3"/>
  <c r="E701" i="3"/>
  <c r="I700" i="3"/>
  <c r="E700" i="3"/>
  <c r="I699" i="3"/>
  <c r="I698" i="3"/>
  <c r="I697" i="3"/>
  <c r="I696" i="3"/>
  <c r="I695" i="3"/>
  <c r="G695" i="3"/>
  <c r="I694" i="3"/>
  <c r="I693" i="3"/>
  <c r="G693" i="3"/>
  <c r="E693" i="3"/>
  <c r="I692" i="3"/>
  <c r="G692" i="3"/>
  <c r="E676" i="3"/>
  <c r="E675" i="3"/>
  <c r="E674" i="3"/>
  <c r="E668" i="3"/>
  <c r="E667" i="3"/>
  <c r="G666" i="3"/>
  <c r="E666" i="3"/>
  <c r="I665" i="3"/>
  <c r="G659" i="3"/>
  <c r="E659" i="3"/>
  <c r="G658" i="3"/>
  <c r="E658" i="3"/>
  <c r="E657" i="3"/>
  <c r="E651" i="3"/>
  <c r="E650" i="3"/>
  <c r="G649" i="3"/>
  <c r="I648" i="3"/>
  <c r="I647" i="3"/>
  <c r="G647" i="3"/>
  <c r="I646" i="3"/>
  <c r="I645" i="3"/>
  <c r="I644" i="3"/>
  <c r="G644" i="3"/>
  <c r="I643" i="3"/>
  <c r="I642" i="3"/>
  <c r="G642" i="3"/>
  <c r="E642" i="3"/>
  <c r="I641" i="3"/>
  <c r="G641" i="3"/>
  <c r="I640" i="3"/>
  <c r="G640" i="3"/>
  <c r="I639" i="3"/>
  <c r="G639" i="3"/>
  <c r="G632" i="3"/>
  <c r="E632" i="3"/>
  <c r="E631" i="3"/>
  <c r="I630" i="3"/>
  <c r="G630" i="3"/>
  <c r="I629" i="3"/>
  <c r="I628" i="3"/>
  <c r="I627" i="3"/>
  <c r="I626" i="3"/>
  <c r="G626" i="3"/>
  <c r="E620" i="3"/>
  <c r="G619" i="3"/>
  <c r="I618" i="3"/>
  <c r="I617" i="3"/>
  <c r="I616" i="3"/>
  <c r="I615" i="3"/>
  <c r="I614" i="3"/>
  <c r="G614" i="3"/>
  <c r="I613" i="3"/>
  <c r="I612" i="3"/>
  <c r="G612" i="3"/>
  <c r="E612" i="3"/>
  <c r="I611" i="3"/>
  <c r="G611" i="3"/>
  <c r="E604" i="3"/>
  <c r="I603" i="3"/>
  <c r="E603" i="3"/>
  <c r="I602" i="3"/>
  <c r="I601" i="3"/>
  <c r="E595" i="3"/>
  <c r="G594" i="3"/>
  <c r="E594" i="3"/>
  <c r="I593" i="3"/>
  <c r="I592" i="3"/>
  <c r="I591" i="3"/>
  <c r="I590" i="3"/>
  <c r="I589" i="3"/>
  <c r="G589" i="3"/>
  <c r="E583" i="3"/>
  <c r="E582" i="3"/>
  <c r="I581" i="3"/>
  <c r="I580" i="3"/>
  <c r="G580" i="3"/>
  <c r="I579" i="3"/>
  <c r="I578" i="3"/>
  <c r="I577" i="3"/>
  <c r="I576" i="3"/>
  <c r="G576" i="3"/>
  <c r="J1070" i="3"/>
  <c r="E581" i="3"/>
  <c r="P904" i="3"/>
  <c r="J824" i="3"/>
  <c r="P903" i="3"/>
  <c r="E1020" i="3" s="1"/>
  <c r="E570" i="3"/>
  <c r="E569" i="3"/>
  <c r="P901" i="3"/>
  <c r="I568" i="3"/>
  <c r="J698" i="3"/>
  <c r="P900" i="3"/>
  <c r="I567" i="3"/>
  <c r="J750" i="3"/>
  <c r="P899" i="3"/>
  <c r="E779" i="3" s="1"/>
  <c r="I566" i="3"/>
  <c r="I565" i="3"/>
  <c r="J1015" i="3"/>
  <c r="P897" i="3"/>
  <c r="E1066" i="3" s="1"/>
  <c r="I564" i="3"/>
  <c r="J694" i="3"/>
  <c r="P896" i="3"/>
  <c r="E1001" i="3" s="1"/>
  <c r="I563" i="3"/>
  <c r="G563" i="3"/>
  <c r="P895" i="3"/>
  <c r="E564" i="3" s="1"/>
  <c r="P894" i="3"/>
  <c r="E649" i="3" s="1"/>
  <c r="J920" i="3"/>
  <c r="J1101" i="3"/>
  <c r="E1090" i="3"/>
  <c r="E808" i="3"/>
  <c r="E557" i="3"/>
  <c r="J834" i="3"/>
  <c r="E556" i="3"/>
  <c r="J906" i="3"/>
  <c r="I555" i="3"/>
  <c r="I554" i="3"/>
  <c r="E554" i="3"/>
  <c r="I553" i="3"/>
  <c r="E545" i="3"/>
  <c r="I543" i="3"/>
  <c r="I542" i="3"/>
  <c r="G542" i="3"/>
  <c r="I541" i="3"/>
  <c r="I540" i="3"/>
  <c r="E540" i="3"/>
  <c r="I539" i="3"/>
  <c r="G539" i="3"/>
  <c r="K530" i="3"/>
  <c r="K529" i="3"/>
  <c r="K528" i="3"/>
  <c r="K522" i="3"/>
  <c r="K524" i="3" s="1"/>
  <c r="G516" i="3"/>
  <c r="K503" i="3"/>
  <c r="G493" i="3"/>
  <c r="K493" i="3" s="1"/>
  <c r="G492" i="3"/>
  <c r="K492" i="3" s="1"/>
  <c r="K486" i="3"/>
  <c r="K487" i="3" s="1"/>
  <c r="K475" i="3"/>
  <c r="K476" i="3" s="1"/>
  <c r="K470" i="3"/>
  <c r="K471" i="3" s="1"/>
  <c r="K465" i="3"/>
  <c r="K466" i="3" s="1"/>
  <c r="K460" i="3"/>
  <c r="K461" i="3" s="1"/>
  <c r="K450" i="3"/>
  <c r="K451" i="3" s="1"/>
  <c r="K440" i="3"/>
  <c r="K441" i="3" s="1"/>
  <c r="K435" i="3"/>
  <c r="K436" i="3" s="1"/>
  <c r="E427" i="3"/>
  <c r="K427" i="3" s="1"/>
  <c r="E426" i="3"/>
  <c r="K426" i="3" s="1"/>
  <c r="J411" i="3"/>
  <c r="K406" i="3"/>
  <c r="G405" i="3"/>
  <c r="G404" i="3"/>
  <c r="K404" i="3" s="1"/>
  <c r="K395" i="3"/>
  <c r="K399" i="3" s="1"/>
  <c r="K386" i="3"/>
  <c r="K390" i="3" s="1"/>
  <c r="E378" i="3"/>
  <c r="K378" i="3" s="1"/>
  <c r="K381" i="3" s="1"/>
  <c r="K364" i="3"/>
  <c r="I352" i="3"/>
  <c r="K352" i="3" s="1"/>
  <c r="K353" i="3" s="1"/>
  <c r="I343" i="3"/>
  <c r="K343" i="3" s="1"/>
  <c r="K344" i="3" s="1"/>
  <c r="I335" i="3"/>
  <c r="K335" i="3" s="1"/>
  <c r="I322" i="3"/>
  <c r="E302" i="3"/>
  <c r="K302" i="3" s="1"/>
  <c r="E301" i="3"/>
  <c r="K301" i="3" s="1"/>
  <c r="K300" i="3"/>
  <c r="K299" i="3"/>
  <c r="K292" i="3"/>
  <c r="E281" i="3"/>
  <c r="K281" i="3" s="1"/>
  <c r="K280" i="3"/>
  <c r="K278" i="3"/>
  <c r="K272" i="3"/>
  <c r="K261" i="3"/>
  <c r="E260" i="3"/>
  <c r="K260" i="3" s="1"/>
  <c r="K259" i="3"/>
  <c r="K258" i="3"/>
  <c r="K257" i="3"/>
  <c r="G240" i="3"/>
  <c r="K223" i="3"/>
  <c r="K205" i="3"/>
  <c r="G204" i="3"/>
  <c r="K204" i="3" s="1"/>
  <c r="K203" i="3"/>
  <c r="K193" i="3"/>
  <c r="K194" i="3" s="1"/>
  <c r="K174" i="3"/>
  <c r="K172" i="3"/>
  <c r="K171" i="3"/>
  <c r="K170" i="3"/>
  <c r="E168" i="3"/>
  <c r="K168" i="3" s="1"/>
  <c r="E167" i="3"/>
  <c r="K167" i="3" s="1"/>
  <c r="K166" i="3"/>
  <c r="K148" i="3"/>
  <c r="K147" i="3"/>
  <c r="K138" i="3"/>
  <c r="K137" i="3"/>
  <c r="K131" i="3"/>
  <c r="K121" i="3"/>
  <c r="K120" i="3"/>
  <c r="E115" i="3"/>
  <c r="I108" i="3"/>
  <c r="K108" i="3" s="1"/>
  <c r="K109" i="3" s="1"/>
  <c r="K104" i="3"/>
  <c r="K99" i="3"/>
  <c r="K84" i="3"/>
  <c r="K75" i="3"/>
  <c r="K78" i="3" s="1"/>
  <c r="J56" i="3"/>
  <c r="K42" i="3"/>
  <c r="K45" i="3" s="1"/>
  <c r="K19" i="3"/>
  <c r="K22" i="3" s="1"/>
  <c r="I14" i="3"/>
  <c r="K14" i="3" s="1"/>
  <c r="K15" i="3" s="1"/>
  <c r="K10" i="3"/>
  <c r="K322" i="3" l="1"/>
  <c r="K323" i="3" s="1"/>
  <c r="K2068" i="3"/>
  <c r="K2411" i="3"/>
  <c r="K1611" i="3"/>
  <c r="K3394" i="3"/>
  <c r="K3792" i="3"/>
  <c r="K3376" i="3"/>
  <c r="K3335" i="3"/>
  <c r="K3338" i="3" s="1"/>
  <c r="K3512" i="3"/>
  <c r="K3515" i="3" s="1"/>
  <c r="K3791" i="3"/>
  <c r="K3808" i="3"/>
  <c r="K3809" i="3" s="1"/>
  <c r="K1698" i="3"/>
  <c r="K1699" i="3" s="1"/>
  <c r="K1702" i="3" s="1"/>
  <c r="K2067" i="3"/>
  <c r="K3788" i="3"/>
  <c r="K3793" i="3"/>
  <c r="K1375" i="3"/>
  <c r="K1385" i="3" s="1"/>
  <c r="K4411" i="3"/>
  <c r="K2033" i="3"/>
  <c r="K2035" i="3" s="1"/>
  <c r="K2036" i="3" s="1"/>
  <c r="K3203" i="3"/>
  <c r="K3206" i="3" s="1"/>
  <c r="K240" i="3"/>
  <c r="K241" i="3" s="1"/>
  <c r="K29" i="7"/>
  <c r="L29" i="7" s="1"/>
  <c r="K1131" i="3"/>
  <c r="K1136" i="3" s="1"/>
  <c r="K1139" i="3" s="1"/>
  <c r="R219" i="5"/>
  <c r="J3733" i="3" s="1"/>
  <c r="R263" i="5"/>
  <c r="J4370" i="3" s="1"/>
  <c r="R236" i="5"/>
  <c r="J3984" i="3" s="1"/>
  <c r="K3984" i="3" s="1"/>
  <c r="R41" i="5"/>
  <c r="J736" i="3" s="1"/>
  <c r="R45" i="5"/>
  <c r="J788" i="3" s="1"/>
  <c r="R55" i="5"/>
  <c r="J973" i="3" s="1"/>
  <c r="R79" i="5"/>
  <c r="J1478" i="3" s="1"/>
  <c r="K1478" i="3" s="1"/>
  <c r="R133" i="5"/>
  <c r="J2514" i="3" s="1"/>
  <c r="R151" i="5"/>
  <c r="J2819" i="3" s="1"/>
  <c r="R167" i="5"/>
  <c r="J3056" i="3" s="1"/>
  <c r="R172" i="5"/>
  <c r="J3121" i="3" s="1"/>
  <c r="R182" i="5"/>
  <c r="J3242" i="3" s="1"/>
  <c r="K3242" i="3" s="1"/>
  <c r="R186" i="5"/>
  <c r="J3284" i="3" s="1"/>
  <c r="R213" i="5"/>
  <c r="J3657" i="3" s="1"/>
  <c r="R245" i="5"/>
  <c r="R93" i="5"/>
  <c r="J1703" i="3" s="1"/>
  <c r="R59" i="5"/>
  <c r="R189" i="5"/>
  <c r="J3331" i="3" s="1"/>
  <c r="R217" i="5"/>
  <c r="J3714" i="3" s="1"/>
  <c r="K3714" i="3" s="1"/>
  <c r="R220" i="5"/>
  <c r="J3743" i="3" s="1"/>
  <c r="R225" i="5"/>
  <c r="R227" i="5"/>
  <c r="R230" i="5"/>
  <c r="J3858" i="3" s="1"/>
  <c r="R235" i="5"/>
  <c r="J3966" i="3" s="1"/>
  <c r="K3966" i="3" s="1"/>
  <c r="R237" i="5"/>
  <c r="J3997" i="3" s="1"/>
  <c r="R46" i="5"/>
  <c r="J812" i="3" s="1"/>
  <c r="R144" i="5"/>
  <c r="J2706" i="3" s="1"/>
  <c r="R145" i="5"/>
  <c r="J2726" i="3" s="1"/>
  <c r="R49" i="5"/>
  <c r="J874" i="3" s="1"/>
  <c r="R211" i="5"/>
  <c r="J3639" i="3" s="1"/>
  <c r="R214" i="5"/>
  <c r="J3667" i="3" s="1"/>
  <c r="R252" i="5"/>
  <c r="J4243" i="3" s="1"/>
  <c r="R18" i="5"/>
  <c r="J365" i="3" s="1"/>
  <c r="K365" i="3" s="1"/>
  <c r="R28" i="5"/>
  <c r="J559" i="3" s="1"/>
  <c r="R39" i="5"/>
  <c r="J703" i="3" s="1"/>
  <c r="R53" i="5"/>
  <c r="J943" i="3" s="1"/>
  <c r="R57" i="5"/>
  <c r="J1008" i="3" s="1"/>
  <c r="R104" i="5"/>
  <c r="J1967" i="3" s="1"/>
  <c r="R105" i="5"/>
  <c r="J1996" i="3" s="1"/>
  <c r="R136" i="5"/>
  <c r="R158" i="5"/>
  <c r="J2905" i="3" s="1"/>
  <c r="K2905" i="3" s="1"/>
  <c r="R209" i="5"/>
  <c r="K35" i="7"/>
  <c r="L35" i="7" s="1"/>
  <c r="M35" i="7" s="1"/>
  <c r="K18" i="7"/>
  <c r="L18" i="7" s="1"/>
  <c r="M18" i="7" s="1"/>
  <c r="K4" i="7"/>
  <c r="L4" i="7" s="1"/>
  <c r="M4" i="7" s="1"/>
  <c r="I3221" i="3"/>
  <c r="K3221" i="3" s="1"/>
  <c r="K3223" i="3" s="1"/>
  <c r="K3224" i="3" s="1"/>
  <c r="K3501" i="3"/>
  <c r="K3560" i="3"/>
  <c r="I2078" i="3"/>
  <c r="K2078" i="3" s="1"/>
  <c r="K2079" i="3" s="1"/>
  <c r="K2153" i="3"/>
  <c r="K2664" i="3"/>
  <c r="K1666" i="3"/>
  <c r="K2083" i="3"/>
  <c r="K2084" i="3" s="1"/>
  <c r="I3301" i="3"/>
  <c r="K3301" i="3" s="1"/>
  <c r="K3305" i="3" s="1"/>
  <c r="I2010" i="3"/>
  <c r="K2010" i="3" s="1"/>
  <c r="K2012" i="3" s="1"/>
  <c r="K3618" i="3"/>
  <c r="K370" i="3"/>
  <c r="K329" i="3"/>
  <c r="I675" i="3"/>
  <c r="K675" i="3" s="1"/>
  <c r="I3001" i="3"/>
  <c r="K3001" i="3" s="1"/>
  <c r="K3002" i="3" s="1"/>
  <c r="I3185" i="3"/>
  <c r="K3185" i="3" s="1"/>
  <c r="K3186" i="3" s="1"/>
  <c r="K3881" i="3"/>
  <c r="K3541" i="3"/>
  <c r="K3943" i="3"/>
  <c r="K371" i="3"/>
  <c r="I505" i="3"/>
  <c r="K505" i="3" s="1"/>
  <c r="K1364" i="3"/>
  <c r="I676" i="3"/>
  <c r="K676" i="3" s="1"/>
  <c r="K1365" i="3"/>
  <c r="K372" i="3"/>
  <c r="I517" i="3"/>
  <c r="K517" i="3" s="1"/>
  <c r="I2017" i="3"/>
  <c r="K2017" i="3" s="1"/>
  <c r="K3555" i="3"/>
  <c r="I481" i="3"/>
  <c r="K481" i="3" s="1"/>
  <c r="K235" i="3"/>
  <c r="K236" i="3" s="1"/>
  <c r="K2198" i="3"/>
  <c r="K2199" i="3" s="1"/>
  <c r="K3556" i="3"/>
  <c r="K3928" i="3"/>
  <c r="I674" i="3"/>
  <c r="K674" i="3" s="1"/>
  <c r="I2026" i="3"/>
  <c r="K2026" i="3" s="1"/>
  <c r="K50" i="3"/>
  <c r="K327" i="3"/>
  <c r="K51" i="3"/>
  <c r="K328" i="3"/>
  <c r="K369" i="3"/>
  <c r="I455" i="3"/>
  <c r="K455" i="3" s="1"/>
  <c r="K456" i="3" s="1"/>
  <c r="E730" i="3"/>
  <c r="E1067" i="3"/>
  <c r="K224" i="3"/>
  <c r="K480" i="3"/>
  <c r="K504" i="3"/>
  <c r="I657" i="3"/>
  <c r="K657" i="3" s="1"/>
  <c r="I1497" i="3"/>
  <c r="K1497" i="3" s="1"/>
  <c r="K1498" i="3" s="1"/>
  <c r="K1777" i="3"/>
  <c r="K1778" i="3" s="1"/>
  <c r="K2441" i="3"/>
  <c r="K2669" i="3"/>
  <c r="K2670" i="3" s="1"/>
  <c r="K3502" i="3"/>
  <c r="K3611" i="3"/>
  <c r="K3620" i="3"/>
  <c r="K3748" i="3"/>
  <c r="K3834" i="3"/>
  <c r="K3882" i="3"/>
  <c r="K3902" i="3"/>
  <c r="K3929" i="3"/>
  <c r="K3944" i="3"/>
  <c r="K4177" i="3"/>
  <c r="R25" i="5"/>
  <c r="J498" i="3" s="1"/>
  <c r="R27" i="5"/>
  <c r="J549" i="3" s="1"/>
  <c r="R31" i="5"/>
  <c r="J597" i="3" s="1"/>
  <c r="R38" i="5"/>
  <c r="R48" i="5"/>
  <c r="J860" i="3" s="1"/>
  <c r="R85" i="5"/>
  <c r="J1595" i="3" s="1"/>
  <c r="R86" i="5"/>
  <c r="J1605" i="3" s="1"/>
  <c r="R114" i="5"/>
  <c r="J2235" i="3" s="1"/>
  <c r="R124" i="5"/>
  <c r="J2394" i="3" s="1"/>
  <c r="R134" i="5"/>
  <c r="J2551" i="3" s="1"/>
  <c r="R135" i="5"/>
  <c r="J2583" i="3" s="1"/>
  <c r="R146" i="5"/>
  <c r="J2736" i="3" s="1"/>
  <c r="R153" i="5"/>
  <c r="J2841" i="3" s="1"/>
  <c r="R160" i="5"/>
  <c r="J2951" i="3" s="1"/>
  <c r="R181" i="5"/>
  <c r="J3234" i="3" s="1"/>
  <c r="R191" i="5"/>
  <c r="J3347" i="3" s="1"/>
  <c r="K3347" i="3" s="1"/>
  <c r="R203" i="5"/>
  <c r="J3481" i="3" s="1"/>
  <c r="K3481" i="3" s="1"/>
  <c r="R205" i="5"/>
  <c r="J3516" i="3" s="1"/>
  <c r="R207" i="5"/>
  <c r="J3536" i="3" s="1"/>
  <c r="R216" i="5"/>
  <c r="J3696" i="3" s="1"/>
  <c r="K3696" i="3" s="1"/>
  <c r="R218" i="5"/>
  <c r="J3722" i="3" s="1"/>
  <c r="K3722" i="3" s="1"/>
  <c r="R239" i="5"/>
  <c r="J4029" i="3" s="1"/>
  <c r="R244" i="5"/>
  <c r="J4126" i="3" s="1"/>
  <c r="K4126" i="3" s="1"/>
  <c r="K7" i="7"/>
  <c r="L7" i="7" s="1"/>
  <c r="M7" i="7" s="1"/>
  <c r="K16" i="7"/>
  <c r="L16" i="7" s="1"/>
  <c r="K93" i="3"/>
  <c r="K94" i="3" s="1"/>
  <c r="K225" i="3"/>
  <c r="K2061" i="3"/>
  <c r="K2442" i="3"/>
  <c r="K3503" i="3"/>
  <c r="K3612" i="3"/>
  <c r="K3621" i="3"/>
  <c r="K3749" i="3"/>
  <c r="K3835" i="3"/>
  <c r="K3883" i="3"/>
  <c r="K3930" i="3"/>
  <c r="K3945" i="3"/>
  <c r="K4178" i="3"/>
  <c r="R10" i="5"/>
  <c r="R67" i="5"/>
  <c r="J1194" i="3" s="1"/>
  <c r="R70" i="5"/>
  <c r="J1264" i="3" s="1"/>
  <c r="R110" i="5"/>
  <c r="J2132" i="3" s="1"/>
  <c r="R142" i="5"/>
  <c r="J2657" i="3" s="1"/>
  <c r="R143" i="5"/>
  <c r="J2686" i="3" s="1"/>
  <c r="R150" i="5"/>
  <c r="J2799" i="3" s="1"/>
  <c r="R152" i="5"/>
  <c r="J2829" i="3" s="1"/>
  <c r="R162" i="5"/>
  <c r="J2987" i="3" s="1"/>
  <c r="R223" i="5"/>
  <c r="J3798" i="3" s="1"/>
  <c r="R234" i="5"/>
  <c r="K17" i="7"/>
  <c r="L17" i="7" s="1"/>
  <c r="K21" i="7"/>
  <c r="L21" i="7" s="1"/>
  <c r="K1503" i="3"/>
  <c r="K1667" i="3"/>
  <c r="K2443" i="3"/>
  <c r="K3504" i="3"/>
  <c r="K3613" i="3"/>
  <c r="K3622" i="3"/>
  <c r="K3872" i="3"/>
  <c r="K3936" i="3"/>
  <c r="K3946" i="3"/>
  <c r="I4111" i="3"/>
  <c r="K4111" i="3" s="1"/>
  <c r="R14" i="5"/>
  <c r="J210" i="3" s="1"/>
  <c r="R68" i="5"/>
  <c r="J1223" i="3" s="1"/>
  <c r="R76" i="5"/>
  <c r="J1423" i="3" s="1"/>
  <c r="R77" i="5"/>
  <c r="J1437" i="3" s="1"/>
  <c r="R78" i="5"/>
  <c r="J1460" i="3" s="1"/>
  <c r="R82" i="5"/>
  <c r="J1552" i="3" s="1"/>
  <c r="R94" i="5"/>
  <c r="J1713" i="3" s="1"/>
  <c r="R95" i="5"/>
  <c r="J1735" i="3" s="1"/>
  <c r="R102" i="5"/>
  <c r="J1907" i="3" s="1"/>
  <c r="R103" i="5"/>
  <c r="J1938" i="3" s="1"/>
  <c r="R111" i="5"/>
  <c r="J2143" i="3" s="1"/>
  <c r="R112" i="5"/>
  <c r="J2174" i="3" s="1"/>
  <c r="R115" i="5"/>
  <c r="J2243" i="3" s="1"/>
  <c r="K2243" i="3" s="1"/>
  <c r="R120" i="5"/>
  <c r="J2323" i="3" s="1"/>
  <c r="R121" i="5"/>
  <c r="J2333" i="3" s="1"/>
  <c r="R159" i="5"/>
  <c r="J2922" i="3" s="1"/>
  <c r="R173" i="5"/>
  <c r="J3131" i="3" s="1"/>
  <c r="R177" i="5"/>
  <c r="J3181" i="3" s="1"/>
  <c r="R178" i="5"/>
  <c r="J3196" i="3" s="1"/>
  <c r="R188" i="5"/>
  <c r="J3320" i="3" s="1"/>
  <c r="R201" i="5"/>
  <c r="J3453" i="3" s="1"/>
  <c r="R242" i="5"/>
  <c r="J4086" i="3" s="1"/>
  <c r="K28" i="7"/>
  <c r="L28" i="7" s="1"/>
  <c r="M28" i="7" s="1"/>
  <c r="R125" i="5"/>
  <c r="J2415" i="3" s="1"/>
  <c r="K227" i="3"/>
  <c r="I511" i="3"/>
  <c r="K511" i="3" s="1"/>
  <c r="K512" i="3" s="1"/>
  <c r="K1668" i="3"/>
  <c r="K2444" i="3"/>
  <c r="K3505" i="3"/>
  <c r="K3567" i="3"/>
  <c r="K3614" i="3"/>
  <c r="K3623" i="3"/>
  <c r="K3937" i="3"/>
  <c r="K3949" i="3"/>
  <c r="R36" i="5"/>
  <c r="J661" i="3" s="1"/>
  <c r="R56" i="5"/>
  <c r="J992" i="3" s="1"/>
  <c r="R75" i="5"/>
  <c r="J1409" i="3" s="1"/>
  <c r="R100" i="5"/>
  <c r="J1856" i="3" s="1"/>
  <c r="R140" i="5"/>
  <c r="R141" i="5"/>
  <c r="J2647" i="3" s="1"/>
  <c r="R155" i="5"/>
  <c r="J2861" i="3" s="1"/>
  <c r="R168" i="5"/>
  <c r="J3066" i="3" s="1"/>
  <c r="R171" i="5"/>
  <c r="J3111" i="3" s="1"/>
  <c r="R202" i="5"/>
  <c r="J3473" i="3" s="1"/>
  <c r="R210" i="5"/>
  <c r="J3596" i="3" s="1"/>
  <c r="R221" i="5"/>
  <c r="J3764" i="3" s="1"/>
  <c r="R224" i="5"/>
  <c r="R233" i="5"/>
  <c r="J3924" i="3" s="1"/>
  <c r="R243" i="5"/>
  <c r="J4117" i="3" s="1"/>
  <c r="R254" i="5"/>
  <c r="J4263" i="3" s="1"/>
  <c r="R265" i="5"/>
  <c r="J4391" i="3" s="1"/>
  <c r="K228" i="3"/>
  <c r="I929" i="3"/>
  <c r="K929" i="3" s="1"/>
  <c r="K1360" i="3"/>
  <c r="K1786" i="3"/>
  <c r="K2445" i="3"/>
  <c r="K2661" i="3"/>
  <c r="K2971" i="3"/>
  <c r="K2972" i="3" s="1"/>
  <c r="K3084" i="3"/>
  <c r="K3085" i="3" s="1"/>
  <c r="K3506" i="3"/>
  <c r="K3557" i="3"/>
  <c r="K3568" i="3"/>
  <c r="K3615" i="3"/>
  <c r="K3624" i="3"/>
  <c r="K3873" i="3"/>
  <c r="K3938" i="3"/>
  <c r="K3950" i="3"/>
  <c r="I4106" i="3"/>
  <c r="K4106" i="3" s="1"/>
  <c r="R12" i="5"/>
  <c r="J153" i="3" s="1"/>
  <c r="R16" i="5"/>
  <c r="J286" i="3" s="1"/>
  <c r="R33" i="5"/>
  <c r="J622" i="3" s="1"/>
  <c r="R60" i="5"/>
  <c r="J1038" i="3" s="1"/>
  <c r="R69" i="5"/>
  <c r="J1245" i="3" s="1"/>
  <c r="R73" i="5"/>
  <c r="J1319" i="3" s="1"/>
  <c r="R84" i="5"/>
  <c r="J1584" i="3" s="1"/>
  <c r="R116" i="5"/>
  <c r="J2258" i="3" s="1"/>
  <c r="R129" i="5"/>
  <c r="J2474" i="3" s="1"/>
  <c r="K2474" i="3" s="1"/>
  <c r="R138" i="5"/>
  <c r="J2618" i="3" s="1"/>
  <c r="R147" i="5"/>
  <c r="J2747" i="3" s="1"/>
  <c r="R179" i="5"/>
  <c r="J3207" i="3" s="1"/>
  <c r="R190" i="5"/>
  <c r="J3339" i="3" s="1"/>
  <c r="R199" i="5"/>
  <c r="J3415" i="3" s="1"/>
  <c r="K3415" i="3" s="1"/>
  <c r="R208" i="5"/>
  <c r="J3551" i="3" s="1"/>
  <c r="K3551" i="3" s="1"/>
  <c r="R229" i="5"/>
  <c r="R231" i="5"/>
  <c r="J3896" i="3" s="1"/>
  <c r="R251" i="5"/>
  <c r="J4220" i="3" s="1"/>
  <c r="K198" i="3"/>
  <c r="K199" i="3" s="1"/>
  <c r="I336" i="3"/>
  <c r="K336" i="3" s="1"/>
  <c r="K337" i="3" s="1"/>
  <c r="K506" i="3"/>
  <c r="I1073" i="3"/>
  <c r="K1073" i="3" s="1"/>
  <c r="K229" i="3"/>
  <c r="K270" i="3"/>
  <c r="K290" i="3"/>
  <c r="K516" i="3"/>
  <c r="I1069" i="3"/>
  <c r="K1069" i="3" s="1"/>
  <c r="K1669" i="3"/>
  <c r="K2446" i="3"/>
  <c r="K2662" i="3"/>
  <c r="I2976" i="3"/>
  <c r="K2976" i="3" s="1"/>
  <c r="K2977" i="3" s="1"/>
  <c r="K3558" i="3"/>
  <c r="K3616" i="3"/>
  <c r="K3874" i="3"/>
  <c r="K3939" i="3"/>
  <c r="K3955" i="3"/>
  <c r="R20" i="5"/>
  <c r="J391" i="3" s="1"/>
  <c r="K391" i="3" s="1"/>
  <c r="R72" i="5"/>
  <c r="J1299" i="3" s="1"/>
  <c r="K1299" i="3" s="1"/>
  <c r="R80" i="5"/>
  <c r="J1515" i="3" s="1"/>
  <c r="R81" i="5"/>
  <c r="J1535" i="3" s="1"/>
  <c r="R87" i="5"/>
  <c r="J1619" i="3" s="1"/>
  <c r="R91" i="5"/>
  <c r="J1681" i="3" s="1"/>
  <c r="R118" i="5"/>
  <c r="J2282" i="3" s="1"/>
  <c r="R137" i="5"/>
  <c r="J2608" i="3" s="1"/>
  <c r="R149" i="5"/>
  <c r="J2769" i="3" s="1"/>
  <c r="R156" i="5"/>
  <c r="J2877" i="3" s="1"/>
  <c r="R163" i="5"/>
  <c r="J3012" i="3" s="1"/>
  <c r="R174" i="5"/>
  <c r="J3141" i="3" s="1"/>
  <c r="R175" i="5"/>
  <c r="J3151" i="3" s="1"/>
  <c r="R176" i="5"/>
  <c r="J3161" i="3" s="1"/>
  <c r="R187" i="5"/>
  <c r="J3297" i="3" s="1"/>
  <c r="R241" i="5"/>
  <c r="J4065" i="3" s="1"/>
  <c r="K4065" i="3" s="1"/>
  <c r="K31" i="7"/>
  <c r="L31" i="7" s="1"/>
  <c r="M31" i="7" s="1"/>
  <c r="K445" i="3"/>
  <c r="K446" i="3" s="1"/>
  <c r="I1044" i="3"/>
  <c r="K1044" i="3" s="1"/>
  <c r="K226" i="3"/>
  <c r="K114" i="3"/>
  <c r="K230" i="3"/>
  <c r="K271" i="3"/>
  <c r="K291" i="3"/>
  <c r="K502" i="3"/>
  <c r="I938" i="3"/>
  <c r="K938" i="3" s="1"/>
  <c r="K2447" i="3"/>
  <c r="K2663" i="3"/>
  <c r="K3272" i="3"/>
  <c r="K3274" i="3" s="1"/>
  <c r="K3385" i="3"/>
  <c r="K3386" i="3" s="1"/>
  <c r="K3540" i="3"/>
  <c r="K3559" i="3"/>
  <c r="K3617" i="3"/>
  <c r="K3880" i="3"/>
  <c r="K3900" i="3"/>
  <c r="K3940" i="3"/>
  <c r="K3956" i="3"/>
  <c r="R11" i="5"/>
  <c r="J143" i="3" s="1"/>
  <c r="R30" i="5"/>
  <c r="J585" i="3" s="1"/>
  <c r="R61" i="5"/>
  <c r="J1047" i="3" s="1"/>
  <c r="R66" i="5"/>
  <c r="J1140" i="3" s="1"/>
  <c r="R89" i="5"/>
  <c r="J1645" i="3" s="1"/>
  <c r="R92" i="5"/>
  <c r="J1694" i="3" s="1"/>
  <c r="R99" i="5"/>
  <c r="J1835" i="3" s="1"/>
  <c r="R109" i="5"/>
  <c r="J2111" i="3" s="1"/>
  <c r="R154" i="5"/>
  <c r="J2851" i="3" s="1"/>
  <c r="R157" i="5"/>
  <c r="J2897" i="3" s="1"/>
  <c r="R194" i="5"/>
  <c r="J3365" i="3" s="1"/>
  <c r="K3365" i="3" s="1"/>
  <c r="R197" i="5"/>
  <c r="J3398" i="3" s="1"/>
  <c r="R206" i="5"/>
  <c r="J3524" i="3" s="1"/>
  <c r="K3524" i="3" s="1"/>
  <c r="R226" i="5"/>
  <c r="J3820" i="3" s="1"/>
  <c r="K3820" i="3" s="1"/>
  <c r="R246" i="5"/>
  <c r="J4134" i="3" s="1"/>
  <c r="K4134" i="3" s="1"/>
  <c r="K3" i="7"/>
  <c r="L3" i="7" s="1"/>
  <c r="K34" i="7"/>
  <c r="L34" i="7" s="1"/>
  <c r="M34" i="7" s="1"/>
  <c r="K24" i="7"/>
  <c r="L24" i="7" s="1"/>
  <c r="M24" i="7" s="1"/>
  <c r="K27" i="7"/>
  <c r="L27" i="7" s="1"/>
  <c r="M27" i="7" s="1"/>
  <c r="K39" i="7"/>
  <c r="L39" i="7" s="1"/>
  <c r="M39" i="7" s="1"/>
  <c r="K6" i="7"/>
  <c r="L6" i="7" s="1"/>
  <c r="K37" i="7"/>
  <c r="L37" i="7" s="1"/>
  <c r="M37" i="7" s="1"/>
  <c r="I2163" i="3"/>
  <c r="K2163" i="3" s="1"/>
  <c r="K2732" i="3"/>
  <c r="K2735" i="3" s="1"/>
  <c r="J961" i="3"/>
  <c r="I1794" i="3"/>
  <c r="K1794" i="3" s="1"/>
  <c r="K3290" i="3"/>
  <c r="K1529" i="3"/>
  <c r="K1531" i="3" s="1"/>
  <c r="K1534" i="3" s="1"/>
  <c r="K1601" i="3"/>
  <c r="K1604" i="3" s="1"/>
  <c r="K3841" i="3"/>
  <c r="K3843" i="3" s="1"/>
  <c r="K3846" i="3" s="1"/>
  <c r="K3847" i="3" s="1"/>
  <c r="K2265" i="3"/>
  <c r="K2266" i="3" s="1"/>
  <c r="K2269" i="3" s="1"/>
  <c r="K2270" i="3" s="1"/>
  <c r="K2500" i="3"/>
  <c r="K2503" i="3" s="1"/>
  <c r="K2504" i="3" s="1"/>
  <c r="K122" i="3"/>
  <c r="K125" i="3" s="1"/>
  <c r="K126" i="3" s="1"/>
  <c r="K3157" i="3"/>
  <c r="K3160" i="3" s="1"/>
  <c r="K3230" i="3"/>
  <c r="K3233" i="3" s="1"/>
  <c r="J885" i="3"/>
  <c r="I1256" i="3"/>
  <c r="K1256" i="3" s="1"/>
  <c r="K649" i="3"/>
  <c r="K1070" i="3"/>
  <c r="K2204" i="3"/>
  <c r="K2211" i="3" s="1"/>
  <c r="K2214" i="3" s="1"/>
  <c r="K2815" i="3"/>
  <c r="K2818" i="3" s="1"/>
  <c r="K3909" i="3"/>
  <c r="K3912" i="3" s="1"/>
  <c r="K3913" i="3" s="1"/>
  <c r="K3127" i="3"/>
  <c r="K3130" i="3" s="1"/>
  <c r="K2414" i="3"/>
  <c r="K43" i="7"/>
  <c r="L43" i="7" s="1"/>
  <c r="M43" i="7" s="1"/>
  <c r="K9" i="7"/>
  <c r="L9" i="7" s="1"/>
  <c r="M9" i="7" s="1"/>
  <c r="K22" i="7"/>
  <c r="L22" i="7" s="1"/>
  <c r="M22" i="7" s="1"/>
  <c r="K25" i="7"/>
  <c r="L25" i="7" s="1"/>
  <c r="M25" i="7" s="1"/>
  <c r="K40" i="7"/>
  <c r="L40" i="7" s="1"/>
  <c r="M40" i="7" s="1"/>
  <c r="K12" i="7"/>
  <c r="L12" i="7" s="1"/>
  <c r="K20" i="7"/>
  <c r="L20" i="7" s="1"/>
  <c r="K23" i="7"/>
  <c r="L23" i="7" s="1"/>
  <c r="M23" i="7" s="1"/>
  <c r="K26" i="7"/>
  <c r="L26" i="7" s="1"/>
  <c r="K41" i="7"/>
  <c r="L41" i="7" s="1"/>
  <c r="M41" i="7" s="1"/>
  <c r="K8" i="7"/>
  <c r="L8" i="7" s="1"/>
  <c r="M8" i="7" s="1"/>
  <c r="K4360" i="3"/>
  <c r="R74" i="5"/>
  <c r="J1388" i="3" s="1"/>
  <c r="R83" i="5"/>
  <c r="J1573" i="3" s="1"/>
  <c r="R107" i="5"/>
  <c r="J2074" i="3" s="1"/>
  <c r="R13" i="5"/>
  <c r="J179" i="3" s="1"/>
  <c r="R21" i="5"/>
  <c r="J400" i="3" s="1"/>
  <c r="K400" i="3" s="1"/>
  <c r="R35" i="5"/>
  <c r="J653" i="3" s="1"/>
  <c r="R97" i="5"/>
  <c r="J1769" i="3" s="1"/>
  <c r="R113" i="5"/>
  <c r="J2215" i="3" s="1"/>
  <c r="R71" i="5"/>
  <c r="J1283" i="3" s="1"/>
  <c r="R98" i="5"/>
  <c r="J1806" i="3" s="1"/>
  <c r="R15" i="5"/>
  <c r="J266" i="3" s="1"/>
  <c r="R43" i="5"/>
  <c r="R96" i="5"/>
  <c r="J1757" i="3" s="1"/>
  <c r="R101" i="5"/>
  <c r="J1881" i="3" s="1"/>
  <c r="R122" i="5"/>
  <c r="J2344" i="3" s="1"/>
  <c r="R119" i="5"/>
  <c r="J2303" i="3" s="1"/>
  <c r="K4157" i="3"/>
  <c r="K3497" i="3"/>
  <c r="K4047" i="3"/>
  <c r="K418" i="3"/>
  <c r="K421" i="3" s="1"/>
  <c r="K422" i="3" s="1"/>
  <c r="K3647" i="3"/>
  <c r="K3423" i="3"/>
  <c r="K494" i="3"/>
  <c r="K497" i="3" s="1"/>
  <c r="K540" i="3"/>
  <c r="J1062" i="3"/>
  <c r="I1275" i="3"/>
  <c r="K1275" i="3" s="1"/>
  <c r="K2466" i="3"/>
  <c r="K2702" i="3"/>
  <c r="K2705" i="3" s="1"/>
  <c r="K3020" i="3"/>
  <c r="K3213" i="3"/>
  <c r="K3216" i="3" s="1"/>
  <c r="K3217" i="3" s="1"/>
  <c r="K4281" i="3"/>
  <c r="K4284" i="3" s="1"/>
  <c r="K4285" i="3" s="1"/>
  <c r="J1001" i="3"/>
  <c r="K1001" i="3" s="1"/>
  <c r="K1042" i="3"/>
  <c r="K1238" i="3"/>
  <c r="K1241" i="3" s="1"/>
  <c r="K1244" i="3" s="1"/>
  <c r="I1544" i="3"/>
  <c r="K1544" i="3" s="1"/>
  <c r="K1548" i="3" s="1"/>
  <c r="K1551" i="3" s="1"/>
  <c r="K3097" i="3"/>
  <c r="K3100" i="3" s="1"/>
  <c r="K3101" i="3" s="1"/>
  <c r="K3469" i="3"/>
  <c r="K3472" i="3" s="1"/>
  <c r="K139" i="3"/>
  <c r="K142" i="3" s="1"/>
  <c r="I1215" i="3"/>
  <c r="K1215" i="3" s="1"/>
  <c r="K1841" i="3"/>
  <c r="K1924" i="3"/>
  <c r="K3052" i="3"/>
  <c r="K3055" i="3" s="1"/>
  <c r="K3327" i="3"/>
  <c r="K3330" i="3" s="1"/>
  <c r="K3726" i="3"/>
  <c r="K3729" i="3" s="1"/>
  <c r="K3732" i="3" s="1"/>
  <c r="K4109" i="3"/>
  <c r="K4293" i="3"/>
  <c r="J784" i="3"/>
  <c r="K2128" i="3"/>
  <c r="K2131" i="3" s="1"/>
  <c r="K4301" i="3"/>
  <c r="E544" i="3"/>
  <c r="K544" i="3" s="1"/>
  <c r="K1637" i="3"/>
  <c r="K1641" i="3" s="1"/>
  <c r="K1644" i="3" s="1"/>
  <c r="I1795" i="3"/>
  <c r="K1795" i="3" s="1"/>
  <c r="I1824" i="3"/>
  <c r="K1824" i="3" s="1"/>
  <c r="K2319" i="3"/>
  <c r="K2322" i="3" s="1"/>
  <c r="K2653" i="3"/>
  <c r="K2656" i="3" s="1"/>
  <c r="K3373" i="3"/>
  <c r="K3663" i="3"/>
  <c r="K3666" i="3" s="1"/>
  <c r="K3789" i="3"/>
  <c r="K4307" i="3"/>
  <c r="K4310" i="3" s="1"/>
  <c r="K4311" i="3" s="1"/>
  <c r="K79" i="3"/>
  <c r="K531" i="3"/>
  <c r="K534" i="3" s="1"/>
  <c r="K535" i="3" s="1"/>
  <c r="E613" i="3"/>
  <c r="E627" i="3"/>
  <c r="J713" i="3"/>
  <c r="E917" i="3"/>
  <c r="K1873" i="3"/>
  <c r="K2457" i="3"/>
  <c r="K3292" i="3"/>
  <c r="K3920" i="3"/>
  <c r="K3923" i="3" s="1"/>
  <c r="E879" i="3"/>
  <c r="E563" i="3"/>
  <c r="K834" i="3"/>
  <c r="E639" i="3"/>
  <c r="J710" i="3"/>
  <c r="E742" i="3"/>
  <c r="J852" i="3"/>
  <c r="E888" i="3"/>
  <c r="J982" i="3"/>
  <c r="I1273" i="3"/>
  <c r="K1273" i="3" s="1"/>
  <c r="K2254" i="3"/>
  <c r="K2257" i="3" s="1"/>
  <c r="K2490" i="3"/>
  <c r="K2493" i="3" s="1"/>
  <c r="K2494" i="3" s="1"/>
  <c r="K2627" i="3"/>
  <c r="K2825" i="3"/>
  <c r="K2828" i="3" s="1"/>
  <c r="K2893" i="3"/>
  <c r="K2896" i="3" s="1"/>
  <c r="K3890" i="3"/>
  <c r="K4082" i="3"/>
  <c r="K4085" i="3" s="1"/>
  <c r="K4405" i="3"/>
  <c r="K4409" i="3"/>
  <c r="E997" i="3"/>
  <c r="E539" i="3"/>
  <c r="E784" i="3"/>
  <c r="J832" i="3"/>
  <c r="E853" i="3"/>
  <c r="J948" i="3"/>
  <c r="E611" i="3"/>
  <c r="K4387" i="3"/>
  <c r="K4390" i="3" s="1"/>
  <c r="K206" i="3"/>
  <c r="K209" i="3" s="1"/>
  <c r="J727" i="3"/>
  <c r="E794" i="3"/>
  <c r="J802" i="3"/>
  <c r="E939" i="3"/>
  <c r="E954" i="3"/>
  <c r="K2231" i="3"/>
  <c r="K2234" i="3" s="1"/>
  <c r="K2277" i="3"/>
  <c r="K2278" i="3" s="1"/>
  <c r="K2281" i="3" s="1"/>
  <c r="K2857" i="3"/>
  <c r="K2860" i="3" s="1"/>
  <c r="K2947" i="3"/>
  <c r="K2950" i="3" s="1"/>
  <c r="K3062" i="3"/>
  <c r="K3065" i="3" s="1"/>
  <c r="K3107" i="3"/>
  <c r="K3110" i="3" s="1"/>
  <c r="K3137" i="3"/>
  <c r="K3140" i="3" s="1"/>
  <c r="K3192" i="3"/>
  <c r="K3195" i="3" s="1"/>
  <c r="K3250" i="3"/>
  <c r="K3579" i="3"/>
  <c r="K3583" i="3" s="1"/>
  <c r="K4408" i="3"/>
  <c r="K4413" i="3"/>
  <c r="J728" i="3"/>
  <c r="K3447" i="3"/>
  <c r="K23" i="3"/>
  <c r="K304" i="3"/>
  <c r="K307" i="3" s="1"/>
  <c r="K308" i="3" s="1"/>
  <c r="K1709" i="3"/>
  <c r="K1712" i="3" s="1"/>
  <c r="K1753" i="3"/>
  <c r="K1756" i="3" s="1"/>
  <c r="K1872" i="3"/>
  <c r="K3042" i="3"/>
  <c r="K3045" i="3" s="1"/>
  <c r="K3046" i="3" s="1"/>
  <c r="K3631" i="3"/>
  <c r="K3635" i="3" s="1"/>
  <c r="K3638" i="3" s="1"/>
  <c r="K3757" i="3"/>
  <c r="K4406" i="3"/>
  <c r="J910" i="3"/>
  <c r="K910" i="3" s="1"/>
  <c r="E1019" i="3"/>
  <c r="E982" i="3"/>
  <c r="E694" i="3"/>
  <c r="K694" i="3" s="1"/>
  <c r="E643" i="3"/>
  <c r="E799" i="3"/>
  <c r="K4407" i="3"/>
  <c r="J1067" i="3"/>
  <c r="K4014" i="3"/>
  <c r="K4017" i="3" s="1"/>
  <c r="K4018" i="3" s="1"/>
  <c r="E615" i="3"/>
  <c r="E778" i="3"/>
  <c r="E749" i="3"/>
  <c r="E825" i="3"/>
  <c r="J778" i="3"/>
  <c r="J712" i="3"/>
  <c r="J887" i="3"/>
  <c r="J696" i="3"/>
  <c r="E823" i="3"/>
  <c r="E1071" i="3"/>
  <c r="E990" i="3"/>
  <c r="E968" i="3"/>
  <c r="E870" i="3"/>
  <c r="E741" i="3"/>
  <c r="E866" i="3"/>
  <c r="E818" i="3"/>
  <c r="E1014" i="3"/>
  <c r="E773" i="3"/>
  <c r="K603" i="3"/>
  <c r="E619" i="3"/>
  <c r="K619" i="3" s="1"/>
  <c r="J755" i="3"/>
  <c r="J908" i="3"/>
  <c r="J925" i="3"/>
  <c r="E979" i="3"/>
  <c r="J989" i="3"/>
  <c r="K989" i="3" s="1"/>
  <c r="K1190" i="3"/>
  <c r="K1193" i="3" s="1"/>
  <c r="K1315" i="3"/>
  <c r="K1318" i="3" s="1"/>
  <c r="E696" i="3"/>
  <c r="K2299" i="3"/>
  <c r="K2302" i="3" s="1"/>
  <c r="K46" i="3"/>
  <c r="J997" i="3"/>
  <c r="J1091" i="3"/>
  <c r="J968" i="3"/>
  <c r="J939" i="3"/>
  <c r="J899" i="3"/>
  <c r="J1090" i="3"/>
  <c r="K1090" i="3" s="1"/>
  <c r="J817" i="3"/>
  <c r="K564" i="3"/>
  <c r="J1002" i="3"/>
  <c r="J826" i="3"/>
  <c r="J926" i="3"/>
  <c r="E577" i="3"/>
  <c r="K577" i="3" s="1"/>
  <c r="E713" i="3"/>
  <c r="E728" i="3"/>
  <c r="J772" i="3"/>
  <c r="E801" i="3"/>
  <c r="J865" i="3"/>
  <c r="K1113" i="3"/>
  <c r="I1213" i="3"/>
  <c r="K1213" i="3" s="1"/>
  <c r="I1254" i="3"/>
  <c r="K1254" i="3" s="1"/>
  <c r="K1580" i="3"/>
  <c r="K1583" i="3" s="1"/>
  <c r="J932" i="3"/>
  <c r="K932" i="3" s="1"/>
  <c r="J810" i="3"/>
  <c r="K810" i="3" s="1"/>
  <c r="K405" i="3"/>
  <c r="K407" i="3" s="1"/>
  <c r="K410" i="3" s="1"/>
  <c r="K411" i="3" s="1"/>
  <c r="K1043" i="3"/>
  <c r="K2614" i="3"/>
  <c r="K2617" i="3" s="1"/>
  <c r="K2743" i="3"/>
  <c r="K2746" i="3" s="1"/>
  <c r="E953" i="3"/>
  <c r="E1021" i="3"/>
  <c r="K382" i="3"/>
  <c r="E1023" i="3"/>
  <c r="E566" i="3"/>
  <c r="E542" i="3"/>
  <c r="E923" i="3"/>
  <c r="K2390" i="3"/>
  <c r="K2393" i="3" s="1"/>
  <c r="K1419" i="3"/>
  <c r="K1422" i="3" s="1"/>
  <c r="K2433" i="3"/>
  <c r="K2436" i="3" s="1"/>
  <c r="K2437" i="3" s="1"/>
  <c r="K2918" i="3"/>
  <c r="K2921" i="3" s="1"/>
  <c r="K4352" i="3"/>
  <c r="K149" i="3"/>
  <c r="K152" i="3" s="1"/>
  <c r="J953" i="3"/>
  <c r="K1114" i="3"/>
  <c r="K1569" i="3"/>
  <c r="K1572" i="3" s="1"/>
  <c r="K1653" i="3"/>
  <c r="K1656" i="3" s="1"/>
  <c r="K1657" i="3" s="1"/>
  <c r="K1731" i="3"/>
  <c r="K1734" i="3" s="1"/>
  <c r="K2092" i="3"/>
  <c r="K3280" i="3"/>
  <c r="K3283" i="3" s="1"/>
  <c r="K3406" i="3"/>
  <c r="K1963" i="3"/>
  <c r="K1966" i="3" s="1"/>
  <c r="K262" i="3"/>
  <c r="K265" i="3" s="1"/>
  <c r="K428" i="3"/>
  <c r="K431" i="3" s="1"/>
  <c r="K554" i="3"/>
  <c r="K1405" i="3"/>
  <c r="K1408" i="3" s="1"/>
  <c r="K1591" i="3"/>
  <c r="K1594" i="3" s="1"/>
  <c r="K2329" i="3"/>
  <c r="K2332" i="3" s="1"/>
  <c r="K4189" i="3"/>
  <c r="K4190" i="3" s="1"/>
  <c r="K4191" i="3" s="1"/>
  <c r="K4194" i="3" s="1"/>
  <c r="K4195" i="3" s="1"/>
  <c r="I2165" i="3"/>
  <c r="K2165" i="3" s="1"/>
  <c r="K2350" i="3"/>
  <c r="K2353" i="3" s="1"/>
  <c r="K2354" i="3" s="1"/>
  <c r="K2510" i="3"/>
  <c r="K2513" i="3" s="1"/>
  <c r="K2604" i="3"/>
  <c r="K2607" i="3" s="1"/>
  <c r="K2722" i="3"/>
  <c r="K2725" i="3" s="1"/>
  <c r="K3026" i="3"/>
  <c r="K3029" i="3" s="1"/>
  <c r="K3030" i="3" s="1"/>
  <c r="K3074" i="3"/>
  <c r="K3076" i="3" s="1"/>
  <c r="K3079" i="3" s="1"/>
  <c r="K3080" i="3" s="1"/>
  <c r="K3117" i="3"/>
  <c r="K3120" i="3" s="1"/>
  <c r="K3653" i="3"/>
  <c r="K3656" i="3" s="1"/>
  <c r="K1923" i="3"/>
  <c r="K2139" i="3"/>
  <c r="K2142" i="3" s="1"/>
  <c r="K2340" i="3"/>
  <c r="K2343" i="3" s="1"/>
  <c r="K2577" i="3"/>
  <c r="K2579" i="3" s="1"/>
  <c r="K2582" i="3" s="1"/>
  <c r="K3316" i="3"/>
  <c r="K3319" i="3" s="1"/>
  <c r="K4025" i="3"/>
  <c r="K4028" i="3" s="1"/>
  <c r="K4366" i="3"/>
  <c r="K4369" i="3" s="1"/>
  <c r="K3356" i="3"/>
  <c r="K3532" i="3"/>
  <c r="K3535" i="3" s="1"/>
  <c r="K3854" i="3"/>
  <c r="K3857" i="3" s="1"/>
  <c r="K4141" i="3"/>
  <c r="K4143" i="3" s="1"/>
  <c r="K4146" i="3" s="1"/>
  <c r="K4147" i="3" s="1"/>
  <c r="K4376" i="3"/>
  <c r="K4379" i="3" s="1"/>
  <c r="K4380" i="3" s="1"/>
  <c r="K4239" i="3"/>
  <c r="K4242" i="3" s="1"/>
  <c r="K1842" i="3"/>
  <c r="K2098" i="3"/>
  <c r="K2099" i="3" s="1"/>
  <c r="K2643" i="3"/>
  <c r="K2646" i="3" s="1"/>
  <c r="K2756" i="3"/>
  <c r="K2757" i="3" s="1"/>
  <c r="K2426" i="3"/>
  <c r="K2427" i="3" s="1"/>
  <c r="K2480" i="3"/>
  <c r="K2847" i="3"/>
  <c r="K2850" i="3" s="1"/>
  <c r="K2873" i="3"/>
  <c r="K2876" i="3" s="1"/>
  <c r="K2983" i="3"/>
  <c r="K2986" i="3" s="1"/>
  <c r="K3258" i="3"/>
  <c r="K3591" i="3"/>
  <c r="K4215" i="3"/>
  <c r="K4216" i="3" s="1"/>
  <c r="K4219" i="3" s="1"/>
  <c r="K4259" i="3"/>
  <c r="K4262" i="3" s="1"/>
  <c r="K175" i="3"/>
  <c r="K178" i="3" s="1"/>
  <c r="K282" i="3"/>
  <c r="K285" i="3" s="1"/>
  <c r="K581" i="3"/>
  <c r="J808" i="3"/>
  <c r="K808" i="3" s="1"/>
  <c r="E1000" i="3"/>
  <c r="E940" i="3"/>
  <c r="E882" i="3"/>
  <c r="E830" i="3"/>
  <c r="E692" i="3"/>
  <c r="E969" i="3"/>
  <c r="E951" i="3"/>
  <c r="E920" i="3"/>
  <c r="K920" i="3" s="1"/>
  <c r="E783" i="3"/>
  <c r="E641" i="3"/>
  <c r="E1100" i="3"/>
  <c r="E970" i="3"/>
  <c r="E806" i="3"/>
  <c r="E726" i="3"/>
  <c r="E1016" i="3"/>
  <c r="E820" i="3"/>
  <c r="E744" i="3"/>
  <c r="E732" i="3"/>
  <c r="E708" i="3"/>
  <c r="E1034" i="3"/>
  <c r="E796" i="3"/>
  <c r="E717" i="3"/>
  <c r="E754" i="3"/>
  <c r="E981" i="3"/>
  <c r="E962" i="3"/>
  <c r="J883" i="3"/>
  <c r="K883" i="3" s="1"/>
  <c r="J693" i="3"/>
  <c r="K693" i="3" s="1"/>
  <c r="J1018" i="3"/>
  <c r="K1018" i="3" s="1"/>
  <c r="J952" i="3"/>
  <c r="K952" i="3" s="1"/>
  <c r="J921" i="3"/>
  <c r="K921" i="3" s="1"/>
  <c r="J775" i="3"/>
  <c r="K775" i="3" s="1"/>
  <c r="J746" i="3"/>
  <c r="K746" i="3" s="1"/>
  <c r="J822" i="3"/>
  <c r="K822" i="3" s="1"/>
  <c r="J798" i="3"/>
  <c r="K798" i="3" s="1"/>
  <c r="J922" i="3"/>
  <c r="K922" i="3" s="1"/>
  <c r="K642" i="3"/>
  <c r="J884" i="3"/>
  <c r="K884" i="3" s="1"/>
  <c r="J700" i="3"/>
  <c r="K700" i="3" s="1"/>
  <c r="J1017" i="3"/>
  <c r="K1017" i="3" s="1"/>
  <c r="J745" i="3"/>
  <c r="K745" i="3" s="1"/>
  <c r="K612" i="3"/>
  <c r="J709" i="3"/>
  <c r="K709" i="3" s="1"/>
  <c r="J821" i="3"/>
  <c r="K821" i="3" s="1"/>
  <c r="J797" i="3"/>
  <c r="K797" i="3" s="1"/>
  <c r="J803" i="3"/>
  <c r="J751" i="3"/>
  <c r="J902" i="3"/>
  <c r="J868" i="3"/>
  <c r="J855" i="3"/>
  <c r="E541" i="3"/>
  <c r="E1101" i="3"/>
  <c r="K1101" i="3" s="1"/>
  <c r="E978" i="3"/>
  <c r="E899" i="3"/>
  <c r="E893" i="3"/>
  <c r="E852" i="3"/>
  <c r="E832" i="3"/>
  <c r="E793" i="3"/>
  <c r="E1091" i="3"/>
  <c r="E961" i="3"/>
  <c r="E865" i="3"/>
  <c r="E817" i="3"/>
  <c r="E755" i="3"/>
  <c r="E640" i="3"/>
  <c r="E776" i="3"/>
  <c r="E885" i="3"/>
  <c r="E727" i="3"/>
  <c r="E710" i="3"/>
  <c r="E565" i="3"/>
  <c r="E1022" i="3"/>
  <c r="E826" i="3"/>
  <c r="E1002" i="3"/>
  <c r="E697" i="3"/>
  <c r="E568" i="3"/>
  <c r="E887" i="3"/>
  <c r="E712" i="3"/>
  <c r="E925" i="3"/>
  <c r="E645" i="3"/>
  <c r="E601" i="3"/>
  <c r="E614" i="3"/>
  <c r="E626" i="3"/>
  <c r="E630" i="3"/>
  <c r="J697" i="3"/>
  <c r="J743" i="3"/>
  <c r="E747" i="3"/>
  <c r="E750" i="3"/>
  <c r="K750" i="3" s="1"/>
  <c r="E752" i="3"/>
  <c r="E772" i="3"/>
  <c r="E781" i="3"/>
  <c r="E802" i="3"/>
  <c r="E804" i="3"/>
  <c r="J806" i="3"/>
  <c r="J819" i="3"/>
  <c r="J830" i="3"/>
  <c r="J856" i="3"/>
  <c r="J866" i="3"/>
  <c r="E886" i="3"/>
  <c r="J919" i="3"/>
  <c r="E948" i="3"/>
  <c r="E950" i="3"/>
  <c r="J978" i="3"/>
  <c r="E983" i="3"/>
  <c r="J1023" i="3"/>
  <c r="J1063" i="3"/>
  <c r="K1063" i="3" s="1"/>
  <c r="J1100" i="3"/>
  <c r="K1433" i="3"/>
  <c r="K1436" i="3" s="1"/>
  <c r="E543" i="3"/>
  <c r="E553" i="3"/>
  <c r="E555" i="3"/>
  <c r="J1061" i="3"/>
  <c r="K1061" i="3" s="1"/>
  <c r="J1028" i="3"/>
  <c r="K1028" i="3" s="1"/>
  <c r="J1013" i="3"/>
  <c r="J870" i="3"/>
  <c r="J1071" i="3"/>
  <c r="E998" i="3"/>
  <c r="E880" i="3"/>
  <c r="E1065" i="3"/>
  <c r="E949" i="3"/>
  <c r="E918" i="3"/>
  <c r="J923" i="3"/>
  <c r="J747" i="3"/>
  <c r="J1022" i="3"/>
  <c r="J983" i="3"/>
  <c r="J954" i="3"/>
  <c r="J779" i="3"/>
  <c r="K779" i="3" s="1"/>
  <c r="J801" i="3"/>
  <c r="J749" i="3"/>
  <c r="E576" i="3"/>
  <c r="E579" i="3"/>
  <c r="I582" i="3"/>
  <c r="K582" i="3" s="1"/>
  <c r="E589" i="3"/>
  <c r="E616" i="3"/>
  <c r="E618" i="3"/>
  <c r="E628" i="3"/>
  <c r="E644" i="3"/>
  <c r="E646" i="3"/>
  <c r="E648" i="3"/>
  <c r="I650" i="3"/>
  <c r="K650" i="3" s="1"/>
  <c r="J695" i="3"/>
  <c r="J711" i="3"/>
  <c r="J714" i="3"/>
  <c r="J729" i="3"/>
  <c r="J741" i="3"/>
  <c r="I764" i="3"/>
  <c r="K764" i="3" s="1"/>
  <c r="J776" i="3"/>
  <c r="J793" i="3"/>
  <c r="J799" i="3"/>
  <c r="J823" i="3"/>
  <c r="J825" i="3"/>
  <c r="J854" i="3"/>
  <c r="J869" i="3"/>
  <c r="J879" i="3"/>
  <c r="J888" i="3"/>
  <c r="J893" i="3"/>
  <c r="E900" i="3"/>
  <c r="E903" i="3"/>
  <c r="E908" i="3"/>
  <c r="J917" i="3"/>
  <c r="E924" i="3"/>
  <c r="E926" i="3"/>
  <c r="E928" i="3"/>
  <c r="J940" i="3"/>
  <c r="E955" i="3"/>
  <c r="J960" i="3"/>
  <c r="K960" i="3" s="1"/>
  <c r="J985" i="3"/>
  <c r="J990" i="3"/>
  <c r="E1013" i="3"/>
  <c r="J1019" i="3"/>
  <c r="J1021" i="3"/>
  <c r="K1511" i="3"/>
  <c r="K1514" i="3" s="1"/>
  <c r="K1627" i="3"/>
  <c r="K1630" i="3" s="1"/>
  <c r="K1631" i="3" s="1"/>
  <c r="J998" i="3"/>
  <c r="J742" i="3"/>
  <c r="J979" i="3"/>
  <c r="J900" i="3"/>
  <c r="J853" i="3"/>
  <c r="J794" i="3"/>
  <c r="E567" i="3"/>
  <c r="K567" i="3" s="1"/>
  <c r="E591" i="3"/>
  <c r="E593" i="3"/>
  <c r="E698" i="3"/>
  <c r="K698" i="3" s="1"/>
  <c r="E748" i="3"/>
  <c r="J754" i="3"/>
  <c r="J774" i="3"/>
  <c r="J804" i="3"/>
  <c r="J828" i="3"/>
  <c r="J867" i="3"/>
  <c r="J882" i="3"/>
  <c r="K906" i="3"/>
  <c r="J950" i="3"/>
  <c r="J962" i="3"/>
  <c r="J1000" i="3"/>
  <c r="E1003" i="3"/>
  <c r="J1024" i="3"/>
  <c r="K1456" i="3"/>
  <c r="K1459" i="3" s="1"/>
  <c r="I1026" i="3"/>
  <c r="K1026" i="3" s="1"/>
  <c r="I595" i="3"/>
  <c r="K595" i="3" s="1"/>
  <c r="E715" i="3"/>
  <c r="J752" i="3"/>
  <c r="E777" i="3"/>
  <c r="I831" i="3"/>
  <c r="K831" i="3" s="1"/>
  <c r="E855" i="3"/>
  <c r="J880" i="3"/>
  <c r="J886" i="3"/>
  <c r="E901" i="3"/>
  <c r="J903" i="3"/>
  <c r="J928" i="3"/>
  <c r="J955" i="3"/>
  <c r="J969" i="3"/>
  <c r="E984" i="3"/>
  <c r="J1065" i="3"/>
  <c r="E828" i="3"/>
  <c r="E1024" i="3"/>
  <c r="E1004" i="3"/>
  <c r="E985" i="3"/>
  <c r="E699" i="3"/>
  <c r="E578" i="3"/>
  <c r="E602" i="3"/>
  <c r="J692" i="3"/>
  <c r="J748" i="3"/>
  <c r="E751" i="3"/>
  <c r="E780" i="3"/>
  <c r="J800" i="3"/>
  <c r="E868" i="3"/>
  <c r="J889" i="3"/>
  <c r="J918" i="3"/>
  <c r="J924" i="3"/>
  <c r="E980" i="3"/>
  <c r="E999" i="3"/>
  <c r="J1003" i="3"/>
  <c r="K1690" i="3"/>
  <c r="K1693" i="3" s="1"/>
  <c r="J1034" i="3"/>
  <c r="J981" i="3"/>
  <c r="J796" i="3"/>
  <c r="J783" i="3"/>
  <c r="J708" i="3"/>
  <c r="J970" i="3"/>
  <c r="J820" i="3"/>
  <c r="J717" i="3"/>
  <c r="J890" i="3"/>
  <c r="J781" i="3"/>
  <c r="J956" i="3"/>
  <c r="J715" i="3"/>
  <c r="E800" i="3"/>
  <c r="E824" i="3"/>
  <c r="K824" i="3" s="1"/>
  <c r="E617" i="3"/>
  <c r="J732" i="3"/>
  <c r="J744" i="3"/>
  <c r="E795" i="3"/>
  <c r="E803" i="3"/>
  <c r="E827" i="3"/>
  <c r="E856" i="3"/>
  <c r="E881" i="3"/>
  <c r="J901" i="3"/>
  <c r="E956" i="3"/>
  <c r="E1062" i="3"/>
  <c r="E1015" i="3"/>
  <c r="K1015" i="3" s="1"/>
  <c r="E867" i="3"/>
  <c r="E819" i="3"/>
  <c r="E774" i="3"/>
  <c r="E927" i="3"/>
  <c r="E889" i="3"/>
  <c r="E714" i="3"/>
  <c r="E729" i="3"/>
  <c r="E647" i="3"/>
  <c r="E629" i="3"/>
  <c r="J1020" i="3"/>
  <c r="K1020" i="3" s="1"/>
  <c r="J777" i="3"/>
  <c r="E580" i="3"/>
  <c r="E590" i="3"/>
  <c r="E592" i="3"/>
  <c r="E695" i="3"/>
  <c r="E711" i="3"/>
  <c r="J730" i="3"/>
  <c r="E743" i="3"/>
  <c r="J780" i="3"/>
  <c r="J818" i="3"/>
  <c r="E890" i="3"/>
  <c r="I904" i="3"/>
  <c r="K904" i="3" s="1"/>
  <c r="E919" i="3"/>
  <c r="J949" i="3"/>
  <c r="J951" i="3"/>
  <c r="J980" i="3"/>
  <c r="J984" i="3"/>
  <c r="J999" i="3"/>
  <c r="J1004" i="3"/>
  <c r="J1016" i="3"/>
  <c r="J699" i="3"/>
  <c r="J726" i="3"/>
  <c r="I733" i="3"/>
  <c r="K733" i="3" s="1"/>
  <c r="J773" i="3"/>
  <c r="J795" i="3"/>
  <c r="J827" i="3"/>
  <c r="E854" i="3"/>
  <c r="E869" i="3"/>
  <c r="J881" i="3"/>
  <c r="E902" i="3"/>
  <c r="I907" i="3"/>
  <c r="K907" i="3" s="1"/>
  <c r="J927" i="3"/>
  <c r="J1014" i="3"/>
  <c r="I1036" i="3"/>
  <c r="K1036" i="3" s="1"/>
  <c r="J1066" i="3"/>
  <c r="K1066" i="3" s="1"/>
  <c r="I1093" i="3"/>
  <c r="K1093" i="3" s="1"/>
  <c r="K1615" i="3"/>
  <c r="K1618" i="3" s="1"/>
  <c r="K1992" i="3"/>
  <c r="K1995" i="3" s="1"/>
  <c r="K2765" i="3"/>
  <c r="K2768" i="3" s="1"/>
  <c r="K2795" i="3"/>
  <c r="K2798" i="3" s="1"/>
  <c r="K1677" i="3"/>
  <c r="K1680" i="3" s="1"/>
  <c r="K1903" i="3"/>
  <c r="K1906" i="3" s="1"/>
  <c r="K2106" i="3"/>
  <c r="K2107" i="3" s="1"/>
  <c r="K2110" i="3" s="1"/>
  <c r="K2682" i="3"/>
  <c r="K2685" i="3" s="1"/>
  <c r="K1765" i="3"/>
  <c r="K1768" i="3" s="1"/>
  <c r="I1823" i="3"/>
  <c r="K1823" i="3" s="1"/>
  <c r="K2547" i="3"/>
  <c r="K2550" i="3" s="1"/>
  <c r="K3147" i="3"/>
  <c r="K3150" i="3" s="1"/>
  <c r="K3264" i="3"/>
  <c r="K3267" i="3" s="1"/>
  <c r="K3268" i="3" s="1"/>
  <c r="K3783" i="3"/>
  <c r="K3177" i="3"/>
  <c r="K3180" i="3" s="1"/>
  <c r="K2837" i="3"/>
  <c r="K2840" i="3" s="1"/>
  <c r="K3008" i="3"/>
  <c r="K3011" i="3" s="1"/>
  <c r="K3436" i="3"/>
  <c r="K3681" i="3"/>
  <c r="K4167" i="3"/>
  <c r="K4170" i="3" s="1"/>
  <c r="K4171" i="3" s="1"/>
  <c r="K15" i="7"/>
  <c r="L15" i="7" s="1"/>
  <c r="M15" i="7" s="1"/>
  <c r="K33" i="7"/>
  <c r="L33" i="7" s="1"/>
  <c r="M33" i="7" s="1"/>
  <c r="K36" i="7"/>
  <c r="L36" i="7" s="1"/>
  <c r="M36" i="7" s="1"/>
  <c r="K3738" i="3"/>
  <c r="K3739" i="3" s="1"/>
  <c r="K3742" i="3" s="1"/>
  <c r="K3993" i="3"/>
  <c r="K3996" i="3" s="1"/>
  <c r="K4328" i="3"/>
  <c r="K4331" i="3" s="1"/>
  <c r="K4332" i="3" s="1"/>
  <c r="K13" i="7"/>
  <c r="L13" i="7" s="1"/>
  <c r="M13" i="7" s="1"/>
  <c r="K5" i="7"/>
  <c r="L5" i="7" s="1"/>
  <c r="M5" i="7" s="1"/>
  <c r="K42" i="7"/>
  <c r="L42" i="7" s="1"/>
  <c r="M42" i="7" s="1"/>
  <c r="K14" i="7"/>
  <c r="L14" i="7" s="1"/>
  <c r="M14" i="7" s="1"/>
  <c r="K32" i="7"/>
  <c r="L32" i="7" s="1"/>
  <c r="M32" i="7" s="1"/>
  <c r="K4370" i="3" l="1"/>
  <c r="K3331" i="3"/>
  <c r="K3056" i="3"/>
  <c r="K1703" i="3"/>
  <c r="K3516" i="3"/>
  <c r="K3760" i="3"/>
  <c r="K3763" i="3" s="1"/>
  <c r="K3764" i="3" s="1"/>
  <c r="K3448" i="3"/>
  <c r="K3449" i="3" s="1"/>
  <c r="K3892" i="3"/>
  <c r="K3895" i="3" s="1"/>
  <c r="K3896" i="3" s="1"/>
  <c r="K3339" i="3"/>
  <c r="K1067" i="3"/>
  <c r="K3997" i="3"/>
  <c r="K3733" i="3"/>
  <c r="K2819" i="3"/>
  <c r="K4414" i="3"/>
  <c r="K4417" i="3" s="1"/>
  <c r="K4418" i="3" s="1"/>
  <c r="K2706" i="3"/>
  <c r="K1423" i="3"/>
  <c r="K2394" i="3"/>
  <c r="K2483" i="3"/>
  <c r="K2484" i="3" s="1"/>
  <c r="K331" i="3"/>
  <c r="K3750" i="3"/>
  <c r="K3751" i="3" s="1"/>
  <c r="K2551" i="3"/>
  <c r="K4391" i="3"/>
  <c r="K3743" i="3"/>
  <c r="K1437" i="3"/>
  <c r="K3121" i="3"/>
  <c r="K3196" i="3"/>
  <c r="K2726" i="3"/>
  <c r="K498" i="3"/>
  <c r="K2143" i="3"/>
  <c r="K1319" i="3"/>
  <c r="K3111" i="3"/>
  <c r="K1535" i="3"/>
  <c r="K948" i="3"/>
  <c r="K852" i="3"/>
  <c r="K3284" i="3"/>
  <c r="K3639" i="3"/>
  <c r="K826" i="3"/>
  <c r="K3903" i="3"/>
  <c r="K727" i="3"/>
  <c r="K730" i="3"/>
  <c r="K3542" i="3"/>
  <c r="K3543" i="3" s="1"/>
  <c r="K954" i="3"/>
  <c r="K518" i="3"/>
  <c r="K1021" i="3"/>
  <c r="K755" i="3"/>
  <c r="K3667" i="3"/>
  <c r="K3320" i="3"/>
  <c r="K1967" i="3"/>
  <c r="K2132" i="3"/>
  <c r="K2799" i="3"/>
  <c r="K3657" i="3"/>
  <c r="K3858" i="3"/>
  <c r="K1996" i="3"/>
  <c r="K2841" i="3"/>
  <c r="K2514" i="3"/>
  <c r="K4243" i="3"/>
  <c r="K1713" i="3"/>
  <c r="K2333" i="3"/>
  <c r="K2111" i="3"/>
  <c r="K1140" i="3"/>
  <c r="K794" i="3"/>
  <c r="K961" i="3"/>
  <c r="K482" i="3"/>
  <c r="K3207" i="3"/>
  <c r="K2897" i="3"/>
  <c r="K2861" i="3"/>
  <c r="K1605" i="3"/>
  <c r="K1907" i="3"/>
  <c r="K2282" i="3"/>
  <c r="K3131" i="3"/>
  <c r="K3234" i="3"/>
  <c r="K2987" i="3"/>
  <c r="K4029" i="3"/>
  <c r="K210" i="3"/>
  <c r="K4179" i="3"/>
  <c r="K4180" i="3" s="1"/>
  <c r="K2235" i="3"/>
  <c r="K3941" i="3"/>
  <c r="K1194" i="3"/>
  <c r="K3181" i="3"/>
  <c r="K1877" i="3"/>
  <c r="K1880" i="3" s="1"/>
  <c r="K1881" i="3" s="1"/>
  <c r="K1694" i="3"/>
  <c r="K1852" i="3"/>
  <c r="K1855" i="3" s="1"/>
  <c r="K1856" i="3" s="1"/>
  <c r="K3012" i="3"/>
  <c r="K3161" i="3"/>
  <c r="K1515" i="3"/>
  <c r="K2258" i="3"/>
  <c r="K2323" i="3"/>
  <c r="K2736" i="3"/>
  <c r="K273" i="3"/>
  <c r="K1366" i="3"/>
  <c r="I971" i="3"/>
  <c r="K971" i="3" s="1"/>
  <c r="I701" i="3"/>
  <c r="K701" i="3" s="1"/>
  <c r="I1102" i="3"/>
  <c r="K1102" i="3" s="1"/>
  <c r="I941" i="3"/>
  <c r="K941" i="3" s="1"/>
  <c r="I785" i="3"/>
  <c r="K785" i="3" s="1"/>
  <c r="I871" i="3"/>
  <c r="K871" i="3" s="1"/>
  <c r="I620" i="3"/>
  <c r="K620" i="3" s="1"/>
  <c r="I756" i="3"/>
  <c r="K756" i="3" s="1"/>
  <c r="I545" i="3"/>
  <c r="K545" i="3" s="1"/>
  <c r="I718" i="3"/>
  <c r="K718" i="3" s="1"/>
  <c r="I667" i="3"/>
  <c r="K667" i="3" s="1"/>
  <c r="I930" i="3"/>
  <c r="K930" i="3" s="1"/>
  <c r="I959" i="3"/>
  <c r="K959" i="3" s="1"/>
  <c r="I905" i="3"/>
  <c r="K905" i="3" s="1"/>
  <c r="I1068" i="3"/>
  <c r="K1068" i="3" s="1"/>
  <c r="I570" i="3"/>
  <c r="K570" i="3" s="1"/>
  <c r="I1006" i="3"/>
  <c r="K1006" i="3" s="1"/>
  <c r="I659" i="3"/>
  <c r="K659" i="3" s="1"/>
  <c r="K546" i="3"/>
  <c r="K373" i="3"/>
  <c r="K374" i="3" s="1"/>
  <c r="K3947" i="3"/>
  <c r="K1787" i="3"/>
  <c r="K54" i="3"/>
  <c r="K55" i="3" s="1"/>
  <c r="K56" i="3" s="1"/>
  <c r="K3561" i="3"/>
  <c r="K3562" i="3" s="1"/>
  <c r="K2686" i="3"/>
  <c r="K923" i="3"/>
  <c r="I782" i="3"/>
  <c r="K782" i="3" s="1"/>
  <c r="K2448" i="3"/>
  <c r="K3931" i="3"/>
  <c r="K2922" i="3"/>
  <c r="K143" i="3"/>
  <c r="K2415" i="3"/>
  <c r="K4086" i="3"/>
  <c r="I1025" i="3"/>
  <c r="K1025" i="3" s="1"/>
  <c r="I731" i="3"/>
  <c r="K731" i="3" s="1"/>
  <c r="K3884" i="3"/>
  <c r="K2851" i="3"/>
  <c r="K1595" i="3"/>
  <c r="K2747" i="3"/>
  <c r="K1681" i="3"/>
  <c r="K1552" i="3"/>
  <c r="K507" i="3"/>
  <c r="K153" i="3"/>
  <c r="K3141" i="3"/>
  <c r="K2829" i="3"/>
  <c r="K3507" i="3"/>
  <c r="K3508" i="3" s="1"/>
  <c r="K4263" i="3"/>
  <c r="I829" i="3"/>
  <c r="K829" i="3" s="1"/>
  <c r="K3958" i="3"/>
  <c r="K3625" i="3"/>
  <c r="K3626" i="3" s="1"/>
  <c r="K293" i="3"/>
  <c r="K294" i="3" s="1"/>
  <c r="K295" i="3" s="1"/>
  <c r="K3569" i="3"/>
  <c r="K3570" i="3" s="1"/>
  <c r="K1245" i="3"/>
  <c r="I805" i="3"/>
  <c r="K805" i="3" s="1"/>
  <c r="K2344" i="3"/>
  <c r="I891" i="3"/>
  <c r="K891" i="3" s="1"/>
  <c r="K231" i="3"/>
  <c r="K3836" i="3"/>
  <c r="K3837" i="3" s="1"/>
  <c r="I1005" i="3"/>
  <c r="K1005" i="3" s="1"/>
  <c r="I753" i="3"/>
  <c r="K753" i="3" s="1"/>
  <c r="K2608" i="3"/>
  <c r="I986" i="3"/>
  <c r="K986" i="3" s="1"/>
  <c r="K3066" i="3"/>
  <c r="K2665" i="3"/>
  <c r="K115" i="3"/>
  <c r="K116" i="3" s="1"/>
  <c r="I957" i="3"/>
  <c r="K957" i="3" s="1"/>
  <c r="I716" i="3"/>
  <c r="K716" i="3" s="1"/>
  <c r="K1260" i="3"/>
  <c r="K1263" i="3" s="1"/>
  <c r="K1264" i="3" s="1"/>
  <c r="K1219" i="3"/>
  <c r="K1222" i="3" s="1"/>
  <c r="K1223" i="3" s="1"/>
  <c r="K802" i="3"/>
  <c r="K563" i="3"/>
  <c r="K997" i="3"/>
  <c r="K741" i="3"/>
  <c r="K589" i="3"/>
  <c r="K539" i="3"/>
  <c r="I719" i="3"/>
  <c r="K719" i="3" s="1"/>
  <c r="K3151" i="3"/>
  <c r="I858" i="3"/>
  <c r="K858" i="3" s="1"/>
  <c r="I631" i="3"/>
  <c r="K631" i="3" s="1"/>
  <c r="I1035" i="3"/>
  <c r="K1035" i="3" s="1"/>
  <c r="I872" i="3"/>
  <c r="K872" i="3" s="1"/>
  <c r="I658" i="3"/>
  <c r="K658" i="3" s="1"/>
  <c r="I807" i="3"/>
  <c r="K807" i="3" s="1"/>
  <c r="I557" i="3"/>
  <c r="K557" i="3" s="1"/>
  <c r="K979" i="3"/>
  <c r="K888" i="3"/>
  <c r="I569" i="3"/>
  <c r="K569" i="3" s="1"/>
  <c r="K286" i="3"/>
  <c r="I583" i="3"/>
  <c r="K583" i="3" s="1"/>
  <c r="K2657" i="3"/>
  <c r="K4116" i="3"/>
  <c r="K4117" i="3" s="1"/>
  <c r="K1619" i="3"/>
  <c r="I909" i="3"/>
  <c r="K909" i="3" s="1"/>
  <c r="I958" i="3"/>
  <c r="K958" i="3" s="1"/>
  <c r="I651" i="3"/>
  <c r="K651" i="3" s="1"/>
  <c r="I987" i="3"/>
  <c r="K987" i="3" s="1"/>
  <c r="K2583" i="3"/>
  <c r="K1735" i="3"/>
  <c r="K2618" i="3"/>
  <c r="I604" i="3"/>
  <c r="K604" i="3" s="1"/>
  <c r="K3293" i="3"/>
  <c r="K3296" i="3" s="1"/>
  <c r="K3297" i="3" s="1"/>
  <c r="K1831" i="3"/>
  <c r="K1834" i="3" s="1"/>
  <c r="K1835" i="3" s="1"/>
  <c r="K1045" i="3"/>
  <c r="K1046" i="3" s="1"/>
  <c r="K1047" i="3" s="1"/>
  <c r="K1409" i="3"/>
  <c r="K1645" i="3"/>
  <c r="I892" i="3"/>
  <c r="K892" i="3" s="1"/>
  <c r="I931" i="3"/>
  <c r="K931" i="3" s="1"/>
  <c r="K2877" i="3"/>
  <c r="K1802" i="3"/>
  <c r="K1805" i="3" s="1"/>
  <c r="K1806" i="3" s="1"/>
  <c r="I1103" i="3"/>
  <c r="K1103" i="3" s="1"/>
  <c r="K1460" i="3"/>
  <c r="I833" i="3"/>
  <c r="K833" i="3" s="1"/>
  <c r="I809" i="3"/>
  <c r="K809" i="3" s="1"/>
  <c r="I668" i="3"/>
  <c r="K668" i="3" s="1"/>
  <c r="I765" i="3"/>
  <c r="K765" i="3" s="1"/>
  <c r="K766" i="3" s="1"/>
  <c r="K767" i="3" s="1"/>
  <c r="I857" i="3"/>
  <c r="K857" i="3" s="1"/>
  <c r="I1094" i="3"/>
  <c r="K1094" i="3" s="1"/>
  <c r="I734" i="3"/>
  <c r="K734" i="3" s="1"/>
  <c r="I988" i="3"/>
  <c r="K988" i="3" s="1"/>
  <c r="K4220" i="3"/>
  <c r="K2647" i="3"/>
  <c r="K1584" i="3"/>
  <c r="I786" i="3"/>
  <c r="K786" i="3" s="1"/>
  <c r="I1072" i="3"/>
  <c r="K1072" i="3" s="1"/>
  <c r="K2769" i="3"/>
  <c r="K854" i="3"/>
  <c r="I556" i="3"/>
  <c r="K556" i="3" s="1"/>
  <c r="I757" i="3"/>
  <c r="K757" i="3" s="1"/>
  <c r="I1092" i="3"/>
  <c r="K1092" i="3" s="1"/>
  <c r="I1027" i="3"/>
  <c r="K1027" i="3" s="1"/>
  <c r="I632" i="3"/>
  <c r="K632" i="3" s="1"/>
  <c r="I666" i="3"/>
  <c r="K666" i="3" s="1"/>
  <c r="I594" i="3"/>
  <c r="K594" i="3" s="1"/>
  <c r="K3596" i="3"/>
  <c r="K2170" i="3"/>
  <c r="K2173" i="3" s="1"/>
  <c r="K2174" i="3" s="1"/>
  <c r="K2951" i="3"/>
  <c r="K3924" i="3"/>
  <c r="K3875" i="3"/>
  <c r="K3876" i="3" s="1"/>
  <c r="K2215" i="3"/>
  <c r="K3377" i="3"/>
  <c r="K3380" i="3" s="1"/>
  <c r="K3381" i="3" s="1"/>
  <c r="K695" i="3"/>
  <c r="K629" i="3"/>
  <c r="J1279" i="3"/>
  <c r="K1282" i="3" s="1"/>
  <c r="K1283" i="3" s="1"/>
  <c r="K592" i="3"/>
  <c r="K645" i="3"/>
  <c r="K817" i="3"/>
  <c r="K616" i="3"/>
  <c r="K1062" i="3"/>
  <c r="K1064" i="3" s="1"/>
  <c r="K542" i="3"/>
  <c r="K3536" i="3"/>
  <c r="K908" i="3"/>
  <c r="K1023" i="3"/>
  <c r="K565" i="3"/>
  <c r="K818" i="3"/>
  <c r="K591" i="3"/>
  <c r="K602" i="3"/>
  <c r="K825" i="3"/>
  <c r="K1071" i="3"/>
  <c r="K1115" i="3"/>
  <c r="K1118" i="3" s="1"/>
  <c r="K1119" i="3" s="1"/>
  <c r="K179" i="3"/>
  <c r="K773" i="3"/>
  <c r="K578" i="3"/>
  <c r="K541" i="3"/>
  <c r="K590" i="3"/>
  <c r="K855" i="3"/>
  <c r="K885" i="3"/>
  <c r="K1934" i="3"/>
  <c r="K1937" i="3" s="1"/>
  <c r="K1938" i="3" s="1"/>
  <c r="K611" i="3"/>
  <c r="K1388" i="3"/>
  <c r="K784" i="3"/>
  <c r="K801" i="3"/>
  <c r="K939" i="3"/>
  <c r="K553" i="3"/>
  <c r="K626" i="3"/>
  <c r="K866" i="3"/>
  <c r="K925" i="3"/>
  <c r="K865" i="3"/>
  <c r="K982" i="3"/>
  <c r="K613" i="3"/>
  <c r="K902" i="3"/>
  <c r="K3582" i="3"/>
  <c r="K868" i="3"/>
  <c r="K823" i="3"/>
  <c r="K3473" i="3"/>
  <c r="K856" i="3"/>
  <c r="K628" i="3"/>
  <c r="K749" i="3"/>
  <c r="K1014" i="3"/>
  <c r="K869" i="3"/>
  <c r="K1757" i="3"/>
  <c r="K266" i="3"/>
  <c r="K1769" i="3"/>
  <c r="K2303" i="3"/>
  <c r="K1573" i="3"/>
  <c r="K647" i="3"/>
  <c r="K1002" i="3"/>
  <c r="K1670" i="3"/>
  <c r="K1671" i="3" s="1"/>
  <c r="K677" i="3"/>
  <c r="K678" i="3" s="1"/>
  <c r="E2028" i="3"/>
  <c r="K2028" i="3" s="1"/>
  <c r="K2029" i="3" s="1"/>
  <c r="E2018" i="3"/>
  <c r="K2018" i="3" s="1"/>
  <c r="K2019" i="3" s="1"/>
  <c r="K2020" i="3" s="1"/>
  <c r="K2070" i="3"/>
  <c r="K2073" i="3" s="1"/>
  <c r="K2074" i="3" s="1"/>
  <c r="K643" i="3"/>
  <c r="K696" i="3"/>
  <c r="K926" i="3"/>
  <c r="K772" i="3"/>
  <c r="E246" i="3"/>
  <c r="K246" i="3" s="1"/>
  <c r="K899" i="3"/>
  <c r="K576" i="3"/>
  <c r="K710" i="3"/>
  <c r="K3594" i="3"/>
  <c r="K1024" i="3"/>
  <c r="K665" i="3"/>
  <c r="K985" i="3"/>
  <c r="K751" i="3"/>
  <c r="K742" i="3"/>
  <c r="K1019" i="3"/>
  <c r="K627" i="3"/>
  <c r="K853" i="3"/>
  <c r="K593" i="3"/>
  <c r="K879" i="3"/>
  <c r="K832" i="3"/>
  <c r="K580" i="3"/>
  <c r="K639" i="3"/>
  <c r="K728" i="3"/>
  <c r="K799" i="3"/>
  <c r="K579" i="3"/>
  <c r="K968" i="3"/>
  <c r="K3452" i="3"/>
  <c r="K3453" i="3" s="1"/>
  <c r="K867" i="3"/>
  <c r="K715" i="3"/>
  <c r="K917" i="3"/>
  <c r="K566" i="3"/>
  <c r="K713" i="3"/>
  <c r="K615" i="3"/>
  <c r="K712" i="3"/>
  <c r="K714" i="3"/>
  <c r="K803" i="3"/>
  <c r="K887" i="3"/>
  <c r="K1091" i="3"/>
  <c r="K919" i="3"/>
  <c r="K828" i="3"/>
  <c r="K1013" i="3"/>
  <c r="K568" i="3"/>
  <c r="K953" i="3"/>
  <c r="K889" i="3"/>
  <c r="K3794" i="3"/>
  <c r="K3797" i="3" s="1"/>
  <c r="K3798" i="3" s="1"/>
  <c r="K743" i="3"/>
  <c r="K984" i="3"/>
  <c r="K870" i="3"/>
  <c r="K729" i="3"/>
  <c r="K774" i="3"/>
  <c r="K881" i="3"/>
  <c r="K980" i="3"/>
  <c r="K990" i="3"/>
  <c r="K640" i="3"/>
  <c r="E247" i="3"/>
  <c r="K247" i="3" s="1"/>
  <c r="K711" i="3"/>
  <c r="K819" i="3"/>
  <c r="K646" i="3"/>
  <c r="K778" i="3"/>
  <c r="K890" i="3"/>
  <c r="K928" i="3"/>
  <c r="K618" i="3"/>
  <c r="K918" i="3"/>
  <c r="K983" i="3"/>
  <c r="K796" i="3"/>
  <c r="K806" i="3"/>
  <c r="K692" i="3"/>
  <c r="K795" i="3"/>
  <c r="K949" i="3"/>
  <c r="K886" i="3"/>
  <c r="K747" i="3"/>
  <c r="K630" i="3"/>
  <c r="K893" i="3"/>
  <c r="K1034" i="3"/>
  <c r="K970" i="3"/>
  <c r="K830" i="3"/>
  <c r="K3398" i="3"/>
  <c r="K3397" i="3"/>
  <c r="K901" i="3"/>
  <c r="K777" i="3"/>
  <c r="K748" i="3"/>
  <c r="K924" i="3"/>
  <c r="K1065" i="3"/>
  <c r="K555" i="3"/>
  <c r="K804" i="3"/>
  <c r="K1022" i="3"/>
  <c r="K708" i="3"/>
  <c r="K1100" i="3"/>
  <c r="K882" i="3"/>
  <c r="K999" i="3"/>
  <c r="K648" i="3"/>
  <c r="K880" i="3"/>
  <c r="K614" i="3"/>
  <c r="K978" i="3"/>
  <c r="K732" i="3"/>
  <c r="K641" i="3"/>
  <c r="K940" i="3"/>
  <c r="K998" i="3"/>
  <c r="K950" i="3"/>
  <c r="K781" i="3"/>
  <c r="K601" i="3"/>
  <c r="K962" i="3"/>
  <c r="K744" i="3"/>
  <c r="K783" i="3"/>
  <c r="K1000" i="3"/>
  <c r="K3682" i="3"/>
  <c r="K3684" i="3" s="1"/>
  <c r="K3687" i="3" s="1"/>
  <c r="K3688" i="3" s="1"/>
  <c r="K780" i="3"/>
  <c r="K699" i="3"/>
  <c r="K903" i="3"/>
  <c r="K644" i="3"/>
  <c r="K543" i="3"/>
  <c r="K981" i="3"/>
  <c r="K820" i="3"/>
  <c r="K955" i="3"/>
  <c r="K900" i="3"/>
  <c r="K793" i="3"/>
  <c r="K754" i="3"/>
  <c r="K1016" i="3"/>
  <c r="K951" i="3"/>
  <c r="K927" i="3"/>
  <c r="K956" i="3"/>
  <c r="K827" i="3"/>
  <c r="K617" i="3"/>
  <c r="K800" i="3"/>
  <c r="K1004" i="3"/>
  <c r="K1003" i="3"/>
  <c r="K752" i="3"/>
  <c r="K697" i="3"/>
  <c r="K776" i="3"/>
  <c r="K717" i="3"/>
  <c r="K726" i="3"/>
  <c r="K969" i="3"/>
  <c r="K3948" i="3" l="1"/>
  <c r="K3951" i="3" s="1"/>
  <c r="K660" i="3"/>
  <c r="K661" i="3" s="1"/>
  <c r="K1104" i="3"/>
  <c r="K1105" i="3" s="1"/>
  <c r="K558" i="3"/>
  <c r="K559" i="3" s="1"/>
  <c r="K669" i="3"/>
  <c r="K670" i="3" s="1"/>
  <c r="K1095" i="3"/>
  <c r="K1096" i="3" s="1"/>
  <c r="K596" i="3"/>
  <c r="K597" i="3" s="1"/>
  <c r="K1037" i="3"/>
  <c r="K1038" i="3" s="1"/>
  <c r="K547" i="3"/>
  <c r="K548" i="3" s="1"/>
  <c r="K549" i="3" s="1"/>
  <c r="K584" i="3"/>
  <c r="K585" i="3" s="1"/>
  <c r="K859" i="3"/>
  <c r="K860" i="3" s="1"/>
  <c r="K942" i="3"/>
  <c r="K943" i="3" s="1"/>
  <c r="K605" i="3"/>
  <c r="K606" i="3" s="1"/>
  <c r="K633" i="3"/>
  <c r="K634" i="3" s="1"/>
  <c r="K571" i="3"/>
  <c r="K572" i="3" s="1"/>
  <c r="K873" i="3"/>
  <c r="K874" i="3" s="1"/>
  <c r="K248" i="3"/>
  <c r="K249" i="3" s="1"/>
  <c r="K963" i="3"/>
  <c r="K964" i="3" s="1"/>
  <c r="K972" i="3"/>
  <c r="K973" i="3" s="1"/>
  <c r="K835" i="3"/>
  <c r="K836" i="3" s="1"/>
  <c r="K837" i="3" s="1"/>
  <c r="K911" i="3"/>
  <c r="K912" i="3" s="1"/>
  <c r="K621" i="3"/>
  <c r="K622" i="3" s="1"/>
  <c r="K1029" i="3"/>
  <c r="K1030" i="3" s="1"/>
  <c r="K811" i="3"/>
  <c r="K812" i="3" s="1"/>
  <c r="K735" i="3"/>
  <c r="K736" i="3" s="1"/>
  <c r="K991" i="3"/>
  <c r="K992" i="3" s="1"/>
  <c r="K787" i="3"/>
  <c r="K788" i="3" s="1"/>
  <c r="K933" i="3"/>
  <c r="K934" i="3" s="1"/>
  <c r="K894" i="3"/>
  <c r="K895" i="3" s="1"/>
  <c r="K652" i="3"/>
  <c r="K653" i="3" s="1"/>
  <c r="K1007" i="3"/>
  <c r="K1008" i="3" s="1"/>
  <c r="K720" i="3"/>
  <c r="K721" i="3" s="1"/>
  <c r="K702" i="3"/>
  <c r="K703" i="3" s="1"/>
  <c r="K758" i="3"/>
  <c r="K759" i="3" s="1"/>
  <c r="K1074" i="3"/>
  <c r="K1075" i="3" s="1"/>
  <c r="K107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B4BB74E4-B435-4F24-944E-471699F22524}">
      <text>
        <r>
          <rPr>
            <b/>
            <sz val="9"/>
            <color indexed="81"/>
            <rFont val="Tahoma"/>
            <family val="2"/>
          </rPr>
          <t>In accordance with FAR 28.102, all government construction projects over $150,000 are subject
to the Miller Act which requires performance and payment bonds.</t>
        </r>
      </text>
    </comment>
    <comment ref="P3" authorId="0" shapeId="0" xr:uid="{9AD1FC17-2668-43F3-B224-3635A007F678}">
      <text>
        <r>
          <rPr>
            <b/>
            <sz val="9"/>
            <color indexed="81"/>
            <rFont val="Tahoma"/>
            <family val="2"/>
          </rPr>
          <t>Generally effects MILCON (&gt;$750k) projects)</t>
        </r>
      </text>
    </comment>
  </commentList>
</comments>
</file>

<file path=xl/sharedStrings.xml><?xml version="1.0" encoding="utf-8"?>
<sst xmlns="http://schemas.openxmlformats.org/spreadsheetml/2006/main" count="15742" uniqueCount="2938">
  <si>
    <t>FAC</t>
  </si>
  <si>
    <t>FAC Title</t>
  </si>
  <si>
    <t>UM</t>
  </si>
  <si>
    <t>SY</t>
  </si>
  <si>
    <t>N/A</t>
  </si>
  <si>
    <t>GA</t>
  </si>
  <si>
    <t>LF</t>
  </si>
  <si>
    <t>GM</t>
  </si>
  <si>
    <t>SF</t>
  </si>
  <si>
    <t>COMMUNICATIONS FACILITY</t>
  </si>
  <si>
    <t>EA</t>
  </si>
  <si>
    <t>AIRCRAFT NAVIGATION FACILITY</t>
  </si>
  <si>
    <t>COMMUNICATION LINES</t>
  </si>
  <si>
    <t>MI</t>
  </si>
  <si>
    <t>AIRFIELD LIGHTING</t>
  </si>
  <si>
    <t>SHIP NAVIGATION FACILITY</t>
  </si>
  <si>
    <t>HELIUM STORAGE FACILITY</t>
  </si>
  <si>
    <t>SHIP OPERATIONS BUILDING</t>
  </si>
  <si>
    <t>PHOTO/TV PRODUCTION BUILDING</t>
  </si>
  <si>
    <t>OPERATIONS SUPPORT LAB</t>
  </si>
  <si>
    <t>OPERATIONS SUPPLY BUILDING</t>
  </si>
  <si>
    <t>SECURITY FORCE BUILDING</t>
  </si>
  <si>
    <t>NUCLEAR WEAPONS SUPPORT FACILITY</t>
  </si>
  <si>
    <t>EXPLOSIVES RAILWAY HOLDING YARD</t>
  </si>
  <si>
    <t>REVETMENT</t>
  </si>
  <si>
    <t>FY09 Study for CNIC</t>
  </si>
  <si>
    <t>PIER/WHARF ACCESS TRESTLE</t>
  </si>
  <si>
    <t>SHORE EROSION PREVENTION FACILITY</t>
  </si>
  <si>
    <t>SMALL CRAFT BERTHING</t>
  </si>
  <si>
    <t>FB</t>
  </si>
  <si>
    <t>SMALL CRAFT BUILDING</t>
  </si>
  <si>
    <t>MISCELLANEOUS WATERFRONT FACILITY</t>
  </si>
  <si>
    <t>HARBOR MARINE IMPROVEMENTS</t>
  </si>
  <si>
    <t>TRAINING POOL AND TANK</t>
  </si>
  <si>
    <t>AC</t>
  </si>
  <si>
    <t>PARADE AND DRILL FIELD</t>
  </si>
  <si>
    <t>GENERAL PURPOSE SMALL ARMS RANGE</t>
  </si>
  <si>
    <t>FP</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</si>
  <si>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</si>
  <si>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</si>
  <si>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</si>
  <si>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</si>
  <si>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</si>
  <si>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</si>
  <si>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</si>
  <si>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</si>
  <si>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</si>
  <si>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</si>
  <si>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</si>
  <si>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</si>
  <si>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</si>
  <si>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</si>
  <si>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</si>
  <si>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</si>
  <si>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</si>
  <si>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</si>
  <si>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</si>
  <si>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</si>
  <si>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</si>
  <si>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</si>
  <si>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</si>
  <si>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</si>
  <si>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</si>
  <si>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</si>
  <si>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</si>
  <si>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</si>
  <si>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</si>
  <si>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</si>
  <si>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</si>
  <si>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</si>
  <si>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</si>
  <si>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</si>
  <si>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</si>
  <si>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</si>
  <si>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</si>
  <si>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</si>
  <si>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</si>
  <si>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</si>
  <si>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</si>
  <si>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</si>
  <si>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</si>
  <si>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</si>
  <si>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FY11 Study for CNIC</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</si>
  <si>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</si>
  <si>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</si>
  <si>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</si>
  <si>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</si>
  <si>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</si>
  <si>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</si>
  <si>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</si>
  <si>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</si>
  <si>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</si>
  <si>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</si>
  <si>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</si>
  <si>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</si>
  <si>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</si>
  <si>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</si>
  <si>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</si>
  <si>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</si>
  <si>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</si>
  <si>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</si>
  <si>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</si>
  <si>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</si>
  <si>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</si>
  <si>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</si>
  <si>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</si>
  <si>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</si>
  <si>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</si>
  <si>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</si>
  <si>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</si>
  <si>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</si>
  <si>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</si>
  <si>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</si>
  <si>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</si>
  <si>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</si>
  <si>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</si>
  <si>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</si>
  <si>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</si>
  <si>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</si>
  <si>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</si>
  <si>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</si>
  <si>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</si>
  <si>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</si>
  <si>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</si>
  <si>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</si>
  <si>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</si>
  <si>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</si>
  <si>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</si>
  <si>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</si>
  <si>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</si>
  <si>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</si>
  <si>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</si>
  <si>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</si>
  <si>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</si>
  <si>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</si>
  <si>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</si>
  <si>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</si>
  <si>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</si>
  <si>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</si>
  <si>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</si>
  <si>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</si>
  <si>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</si>
  <si>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</si>
  <si>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</si>
  <si>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</si>
  <si>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</si>
  <si>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</si>
  <si>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</si>
  <si>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</si>
  <si>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</si>
  <si>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</si>
  <si>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</si>
  <si>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</si>
  <si>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</si>
  <si>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</si>
  <si>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</si>
  <si>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</si>
  <si>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</si>
  <si>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</si>
  <si>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</si>
  <si>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</si>
  <si>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</si>
  <si>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</si>
  <si>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</si>
  <si>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</si>
  <si>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</si>
  <si>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</si>
  <si>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</si>
  <si>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</si>
  <si>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EDUCATION CENTER</t>
  </si>
  <si>
    <t>SCHOOL PLAYGROUNDS</t>
  </si>
  <si>
    <t>RELIGIOUS EDUCATION FACILITY</t>
  </si>
  <si>
    <t>FAMILY SERVICE CENTER</t>
  </si>
  <si>
    <t>FORESTRY GUARD STATION</t>
  </si>
  <si>
    <t>LOCKER ROOM</t>
  </si>
  <si>
    <t>PUBLIC RESTROOM/SHOWER</t>
  </si>
  <si>
    <t>CEREMONIAL HALL</t>
  </si>
  <si>
    <t>EXCHANGE SUPPORT FACILITY</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</si>
  <si>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</si>
  <si>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</si>
  <si>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</si>
  <si>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</si>
  <si>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</si>
  <si>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</si>
  <si>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</si>
  <si>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</si>
  <si>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</si>
  <si>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</si>
  <si>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RECREATIONAL LODGING</t>
  </si>
  <si>
    <t>TRANSIENT AND RECREATIONAL LODGING SUPPORT FACILITY</t>
  </si>
  <si>
    <t>STABLE</t>
  </si>
  <si>
    <t>BOATHOUSE</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</si>
  <si>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</si>
  <si>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</si>
  <si>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</si>
  <si>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</si>
  <si>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</si>
  <si>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</si>
  <si>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</si>
  <si>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</si>
  <si>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</si>
  <si>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</si>
  <si>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</si>
  <si>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</si>
  <si>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</si>
  <si>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</si>
  <si>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</si>
  <si>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</si>
  <si>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</si>
  <si>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CF</t>
  </si>
  <si>
    <t>ELECTRICAL POWER SOURCE</t>
  </si>
  <si>
    <t>KW</t>
  </si>
  <si>
    <t>ELECTRICAL POWER SOURCE HYDROELECTRIC</t>
  </si>
  <si>
    <t>MW</t>
  </si>
  <si>
    <t>ELECTRICAL POWER SOURCE, WIND GENERATED</t>
  </si>
  <si>
    <t>ELECTRICAL POWER SOURCE, PHOTOVOLTAIC</t>
  </si>
  <si>
    <t>EXTERIOR LIGHTING, POLE</t>
  </si>
  <si>
    <t>KV</t>
  </si>
  <si>
    <t>HEAT SOURCE</t>
  </si>
  <si>
    <t>BH</t>
  </si>
  <si>
    <t>HEAT GAS PRODUCTION PLANT</t>
  </si>
  <si>
    <t>HEAT GAS STORAGE</t>
  </si>
  <si>
    <t>HEAT GAS DISTRIBUTION LINE</t>
  </si>
  <si>
    <t>REFRIGERATION AND AIR CONDITIONING SOURCE</t>
  </si>
  <si>
    <t>TR</t>
  </si>
  <si>
    <t>CHILLED WATER AND REFRIGERANT DISTRIBUTION LINE</t>
  </si>
  <si>
    <t>SEWAGE TREATMENT</t>
  </si>
  <si>
    <t>KG</t>
  </si>
  <si>
    <t>INDUSTRIAL WASTE TREATMENT</t>
  </si>
  <si>
    <t>WATER SEPARATION FACILITY</t>
  </si>
  <si>
    <t>SEPTIC TANK AND DRAIN FIELD</t>
  </si>
  <si>
    <t>SEPTIC LAGOON AND SETTLEMENT PONDS</t>
  </si>
  <si>
    <t>SEWER AND INDUSTRIAL WASTE LINE</t>
  </si>
  <si>
    <t>REFUSE COLLECTION AND RECYCLING FACILITY</t>
  </si>
  <si>
    <t>INCINERATOR</t>
  </si>
  <si>
    <t>TH</t>
  </si>
  <si>
    <t>SANITARY LANDFILL</t>
  </si>
  <si>
    <t>FY14 Navy Military Construction Program</t>
  </si>
  <si>
    <t>HAZARDOUS WASTE LANDFILL</t>
  </si>
  <si>
    <t>WATER TREATMENT FACILITY</t>
  </si>
  <si>
    <t>WATER STORAGE, POTABLE</t>
  </si>
  <si>
    <t>WATER WELL, POTABLE</t>
  </si>
  <si>
    <t>DESALINIZATION PLANT</t>
  </si>
  <si>
    <t>WATER DISTRIBUTION LINE, POTABLE</t>
  </si>
  <si>
    <t>WATER DISTRIBUTION LINE, FIRE PROTECTION</t>
  </si>
  <si>
    <t>MG</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</si>
  <si>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</si>
  <si>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</si>
  <si>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</si>
  <si>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</si>
  <si>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</si>
  <si>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</si>
  <si>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</si>
  <si>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</si>
  <si>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</si>
  <si>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</si>
  <si>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</si>
  <si>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</si>
  <si>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</si>
  <si>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</si>
  <si>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</si>
  <si>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</si>
  <si>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</si>
  <si>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</si>
  <si>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BOUNDARY FENCE AND WALL</t>
  </si>
  <si>
    <t>SECURITY FENCE</t>
  </si>
  <si>
    <t>NAVIGATION REVETMENTS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</si>
  <si>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</si>
  <si>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</si>
  <si>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</si>
  <si>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</si>
  <si>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</si>
  <si>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</si>
  <si>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</si>
  <si>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</si>
  <si>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</si>
  <si>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</si>
  <si>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</si>
  <si>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WATER LAUNCH RAMP</t>
  </si>
  <si>
    <t>Notes:  Replacement Unit Costs (RUC) are not size adjusted.  If available, reference size from source pricing guide is republished for end-user calculation.</t>
  </si>
  <si>
    <t xml:space="preserve">FAC </t>
  </si>
  <si>
    <t>Design Size</t>
  </si>
  <si>
    <t xml:space="preserve">UM = </t>
  </si>
  <si>
    <t>Source</t>
  </si>
  <si>
    <t>Description</t>
  </si>
  <si>
    <t>CY</t>
  </si>
  <si>
    <t>Total</t>
  </si>
  <si>
    <t>Weighted RUC</t>
  </si>
  <si>
    <t>RPAD Average Size</t>
  </si>
  <si>
    <t>RUC</t>
  </si>
  <si>
    <t>RPAD     Average Size</t>
  </si>
  <si>
    <t>Communications Building</t>
  </si>
  <si>
    <t>Table 2, UFC 3-701-1, 23 May 2018</t>
  </si>
  <si>
    <t>CATCODE</t>
  </si>
  <si>
    <t>Reference Size</t>
  </si>
  <si>
    <t>Unit Cost</t>
  </si>
  <si>
    <t>Inflation Adjustment                        by MILCON Index</t>
  </si>
  <si>
    <t>Adjusted Cost</t>
  </si>
  <si>
    <t>GUC</t>
  </si>
  <si>
    <t>Communications Facility</t>
  </si>
  <si>
    <t>NA;  GUCs are as of                      October 2017</t>
  </si>
  <si>
    <t>Satellite Communications Building</t>
  </si>
  <si>
    <t>USACE PAX Newsletter 3.2.2, 16 May 2016</t>
  </si>
  <si>
    <t>Satellite Terminal Communications Facility</t>
  </si>
  <si>
    <t>Section</t>
  </si>
  <si>
    <t>Current Cost Multiplier</t>
  </si>
  <si>
    <t>67/6</t>
  </si>
  <si>
    <t>Self Supporting Tower, 100 ft</t>
  </si>
  <si>
    <t>Normalizing for Location</t>
  </si>
  <si>
    <t>Marshall and Swift Local Multiplier for Arlington, VA</t>
  </si>
  <si>
    <t>Divided by 2018 DoD ACF for Arlington, VA</t>
  </si>
  <si>
    <t>Average</t>
  </si>
  <si>
    <t>RUC with Military Construction Premium</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</si>
  <si>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</si>
  <si>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</si>
  <si>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FAC 1321 aggregates 8 category codes for a variety of antennae across all Services and WHS.</t>
  </si>
  <si>
    <t>Building construction material</t>
  </si>
  <si>
    <t>Facility size</t>
  </si>
  <si>
    <t>Fire suppression system type, quality, and coverage</t>
  </si>
  <si>
    <t xml:space="preserve">UFC 3-600-01, "Fire Protection Engineering for Facilities," contains no requirement for antenna fire suppression. </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</si>
  <si>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</si>
  <si>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</si>
  <si>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</si>
  <si>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</si>
  <si>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</si>
  <si>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</si>
  <si>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 xml:space="preserve">• M&amp;S Selection Business Rule
• MILCON Cost Premium Business Rule
</t>
  </si>
  <si>
    <t>Footnotes</t>
  </si>
  <si>
    <t>Aircraft Navigation Building</t>
  </si>
  <si>
    <t>Aircraft Navigation Facility</t>
  </si>
  <si>
    <t>TASK</t>
  </si>
  <si>
    <t>Units</t>
  </si>
  <si>
    <t>Conversion</t>
  </si>
  <si>
    <t>14/22</t>
  </si>
  <si>
    <t>SF to EA</t>
  </si>
  <si>
    <t>Multiple Category Codes; Assume 10 x 10 ft</t>
  </si>
  <si>
    <t>Communications Lines</t>
  </si>
  <si>
    <t>Area Adjustment</t>
  </si>
  <si>
    <t>36-strand Fiber Optic cable w/1" PVC inner duct run in duct bank</t>
  </si>
  <si>
    <t>FT to MI</t>
  </si>
  <si>
    <t>36-strand Fiber Optic splice box including box and 36 splices</t>
  </si>
  <si>
    <t>EA per MI</t>
  </si>
  <si>
    <t>66/1</t>
  </si>
  <si>
    <t>Trench only, LF</t>
  </si>
  <si>
    <t>FT</t>
  </si>
  <si>
    <t>Conduit only, LF</t>
  </si>
  <si>
    <t>Sum</t>
  </si>
  <si>
    <t>Unified Facilities Criteria (UFC) 3-580-01, "Telecommunications Interior Infrastructure Planning and Design."</t>
  </si>
  <si>
    <t xml:space="preserve">Fiber optic cable is the standard called for in UFC 3-580-01 for cable plant between buildings. </t>
  </si>
  <si>
    <t>No UFC requirement exists for the incorporation of a loading dock</t>
  </si>
  <si>
    <t>Fiber optic cable is the standard called for in UFC 3-580-01.</t>
  </si>
  <si>
    <t>Ship Navigation Building</t>
  </si>
  <si>
    <t>Ship Navigation Facility</t>
  </si>
  <si>
    <t>Self-Supporting Tower, 50 FT</t>
  </si>
  <si>
    <t>Air Defense Operations Building</t>
  </si>
  <si>
    <t>Aircraft Operations Facility Without Tower</t>
  </si>
  <si>
    <t>Missile Operations Building</t>
  </si>
  <si>
    <t>Emergency Operations Center / SCIF</t>
  </si>
  <si>
    <t>USACE PAX Newsletter 3.2.2, 30 May 2018</t>
  </si>
  <si>
    <t>Airfield Fire And Rescue Station</t>
  </si>
  <si>
    <t>Aviation Operations Building</t>
  </si>
  <si>
    <t>Air Control Tower</t>
  </si>
  <si>
    <t>Air Traffic / Flight Control Tower</t>
  </si>
  <si>
    <t>Helium Production/Storage Building</t>
  </si>
  <si>
    <t>General Purpose (GP) Warehouse, Installation, Low-Bay (Up to 16-FT Stack Height), &lt; 15,000 SF</t>
  </si>
  <si>
    <t>Hazardous Waste Storage Building - Tactical Equipment Maintenance Facility (TEMF)</t>
  </si>
  <si>
    <t>Average Size</t>
  </si>
  <si>
    <t>Weighted Average</t>
  </si>
  <si>
    <t>Helium Storage Facility</t>
  </si>
  <si>
    <t>61/8</t>
  </si>
  <si>
    <t>Welded Steel Pressure Tank, 9,000 gallons</t>
  </si>
  <si>
    <t>Welded Steel Pressure Tank, 15,000 gallons</t>
  </si>
  <si>
    <t>Ship Operations Building</t>
  </si>
  <si>
    <t>Headquarters / Operations Buildings (See explanation below)</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</si>
  <si>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</si>
  <si>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</si>
  <si>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</si>
  <si>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</si>
  <si>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</si>
  <si>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</si>
  <si>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</si>
  <si>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</si>
  <si>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</si>
  <si>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</si>
  <si>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</si>
  <si>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RUC with Military Cost Premium</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</si>
  <si>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</si>
  <si>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</si>
  <si>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International Building Code (IBC) Group B.
A sprinkler is incorporated, applying the Fire Sprinkler Business Rule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</si>
  <si>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</si>
  <si>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</si>
  <si>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</si>
  <si>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</si>
  <si>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</si>
  <si>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Distribution Warehouse, Class B, Average</t>
  </si>
  <si>
    <t>55/5</t>
  </si>
  <si>
    <t>SF of door</t>
  </si>
  <si>
    <t>Overhead door electric operation</t>
  </si>
  <si>
    <t>65/12</t>
  </si>
  <si>
    <t>Dock bumper, Horizontal, Per LF, 10 FT length</t>
  </si>
  <si>
    <t>Per SF</t>
  </si>
  <si>
    <t>Dock leveler, hydraulic</t>
  </si>
  <si>
    <t>Dock seal, 10 inch projection</t>
  </si>
  <si>
    <t>Dock shelter</t>
  </si>
  <si>
    <t xml:space="preserve">Unified Facilities Criteria (UFC) 4-440-01, Warehouse and Storage Facilities,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</si>
  <si>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 the FAC is Class B, Average Quality.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</si>
  <si>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1:10,000.    For this FAC, 1 loading dock assembly is provided.   
An elevator is not provided as the average number of floors is 1.05; applying the Elevator Business Rule, no elevator is incorporated. 
</t>
  </si>
  <si>
    <t xml:space="preserve">UFC 4-440-01 states that overhead bridge cranes may not be required.  Because bridge cranes are not required, no overhead crane is included, applying the Overhead Crane Business Rule.  </t>
  </si>
  <si>
    <t>UFC 4-440-01 provides the criteria for component material.</t>
  </si>
  <si>
    <t>Miscellaneous Operations Support Building</t>
  </si>
  <si>
    <t>Headquarters/Operations Building: Company Level</t>
  </si>
  <si>
    <t>Working Animal Support Building</t>
  </si>
  <si>
    <t>Kennel Facilities</t>
  </si>
  <si>
    <t>Security Force Building</t>
  </si>
  <si>
    <t>15/33</t>
  </si>
  <si>
    <t>Police Station, Class B, Average</t>
  </si>
  <si>
    <t>15/36</t>
  </si>
  <si>
    <t>Elevator, Passenger, base Cost, 2-3 story</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</si>
  <si>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</si>
  <si>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</si>
  <si>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</si>
  <si>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</si>
  <si>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International Building Code Occupancy Group B.
A fire sprinkler has been incorporated, applying the Fire Sprinkler Business Rule.
</t>
  </si>
  <si>
    <t>No overhead crane is provided, applying the Overhead Crane Business Rule.</t>
  </si>
  <si>
    <t>No UFC criteria exist for component material.</t>
  </si>
  <si>
    <t>Mechanical Security Barricade</t>
  </si>
  <si>
    <t>Inflation Adjustment by MILCON Index</t>
  </si>
  <si>
    <t>Crash Barrier, 12' Wide,  portable wedge crash, including LME for complete installation</t>
  </si>
  <si>
    <t>NA</t>
  </si>
  <si>
    <t>Crash Barrier, 20' Wide Sliding Roller, including LME for complete installation</t>
  </si>
  <si>
    <t>Crash Barrier, 20' Wide Sliding Cantilever,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</si>
  <si>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</si>
  <si>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</si>
  <si>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</si>
  <si>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</si>
  <si>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</si>
  <si>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</si>
  <si>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USACE PAX Newsletter 3.2.2, 6 April 2017</t>
  </si>
  <si>
    <t>Canopy for Covered Hardstand (not Enclosed)</t>
  </si>
  <si>
    <t>Aircraft Shelter</t>
  </si>
  <si>
    <t>AF Military Construction Program</t>
  </si>
  <si>
    <t>Inflation Adjustment</t>
  </si>
  <si>
    <t>MILCON Projects</t>
  </si>
  <si>
    <t>F-35A Aircraft Shelter, Category Code 141-181</t>
  </si>
  <si>
    <t>SM</t>
  </si>
  <si>
    <t>Military Cost Premium not added because cost taken from military construction document</t>
  </si>
  <si>
    <t>Aircraft Support Facility</t>
  </si>
  <si>
    <t xml:space="preserve">Pro Rated based on number of RPAD records </t>
  </si>
  <si>
    <t>Weighted Cost</t>
  </si>
  <si>
    <t>FAC 8927 Utility Vault</t>
  </si>
  <si>
    <t>LF to EA</t>
  </si>
  <si>
    <t>FAC 1341 Aircraft Navigation Facility</t>
  </si>
  <si>
    <t>Weighted Sum</t>
  </si>
  <si>
    <t>Military Cost Premium included in component FACs</t>
  </si>
  <si>
    <t>Nuclear Weapons Support Facility</t>
  </si>
  <si>
    <t>Assumed Size</t>
  </si>
  <si>
    <t>5,000 SF</t>
  </si>
  <si>
    <t xml:space="preserve">14/15 </t>
  </si>
  <si>
    <t>Industrials, Heavy (Process) Manufacturing, Class A, Average, including elevator and craneway</t>
  </si>
  <si>
    <t>14/15</t>
  </si>
  <si>
    <t>Deduction for no elevator</t>
  </si>
  <si>
    <t>58/6</t>
  </si>
  <si>
    <t>Bridge Crane, 20' span, 5 Ton</t>
  </si>
  <si>
    <t>Craneway electrical conductor</t>
  </si>
  <si>
    <t>Sprinkler, 5000 SF, Dry System, Average</t>
  </si>
  <si>
    <t>Explosives Holding/Transfer Area</t>
  </si>
  <si>
    <t>Inflation Adjustment -                       MILCON Index</t>
  </si>
  <si>
    <t>Backfill and Compaction, Dozer Backfill, Roller Compaction in 12" Layers</t>
  </si>
  <si>
    <t>CY/SY</t>
  </si>
  <si>
    <t>Base Course, 1-1/2" Crushed Stone, 12" Deep, Compacted, including Material &amp; Transportation, excluding Earthwork</t>
  </si>
  <si>
    <t xml:space="preserve">Reinforced Concrete Pavement, 8" Thick, 4,500 PSI, Fixed Form, 12" Pass, including Joints, Finishings &amp; Curing, Excluding Earthwork </t>
  </si>
  <si>
    <t>Note: Lightning protection and fence calculated separately as stand-alone assets</t>
  </si>
  <si>
    <t>Explosives Railway Holding Yard</t>
  </si>
  <si>
    <t>66/3</t>
  </si>
  <si>
    <t>Rail Spur, 130# rail, assume 1,000 LF</t>
  </si>
  <si>
    <t>LF Total</t>
  </si>
  <si>
    <t>Add for Rail Turnout, Assume 2</t>
  </si>
  <si>
    <t>17/29</t>
  </si>
  <si>
    <t>Arch-rib (Quonset) Farm Implement Building, Class D, Average  (Assume 4 EA)</t>
  </si>
  <si>
    <t>SF Total</t>
  </si>
  <si>
    <t>51/3</t>
  </si>
  <si>
    <t>Reinforced Concrete foundation walls for Quonset Building, 12":  4 EA x 150 LF X 10' high = 6,000 SF wall</t>
  </si>
  <si>
    <t>51/2</t>
  </si>
  <si>
    <t>Explosives Holding/Transfer Facility</t>
  </si>
  <si>
    <t>Base Course, 1-1/2" Crushed Stone, 8" Deep, Compacted, including Material &amp; Transportation, excluding Earthwork</t>
  </si>
  <si>
    <t>Asphalt Concrete Paving Surface, 3" Thick Plant Mix, Excluding Earthwork</t>
  </si>
  <si>
    <t>Note: Lightning protection and fence calculated separately as stand alone assets</t>
  </si>
  <si>
    <t>Revetment</t>
  </si>
  <si>
    <t>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</si>
  <si>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</si>
  <si>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</si>
  <si>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</si>
  <si>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</si>
  <si>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</si>
  <si>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</si>
  <si>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</si>
  <si>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</si>
  <si>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</si>
  <si>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</si>
  <si>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</si>
  <si>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Central Wash Facility, 16 Stations</t>
  </si>
  <si>
    <t>Security Support Building</t>
  </si>
  <si>
    <t>Search Office/ Sentry Building</t>
  </si>
  <si>
    <t>Gatehouse</t>
  </si>
  <si>
    <t>Guard booth</t>
  </si>
  <si>
    <t>Miscellaneous Operations Support Facility</t>
  </si>
  <si>
    <t>Category Code</t>
  </si>
  <si>
    <t>Underground Administrative Facility (USACE PAX Newsletter, 20 Mar 2009)</t>
  </si>
  <si>
    <t>53/10</t>
  </si>
  <si>
    <t>FT to EA</t>
  </si>
  <si>
    <t>Weighted Average RUC</t>
  </si>
  <si>
    <t>Pier</t>
  </si>
  <si>
    <t>Unit Price</t>
  </si>
  <si>
    <t>Military Cost Premium not added because reference cost taken from military construction documents</t>
  </si>
  <si>
    <t>Wharf</t>
  </si>
  <si>
    <t>Pier/Wharf Access Trestle</t>
  </si>
  <si>
    <t>Ship &amp; Boat Dock, Heavy Construction, Heavy wood girders, including railing, utilities, fenders; exclusive of buildings</t>
  </si>
  <si>
    <t>SF to SY</t>
  </si>
  <si>
    <t>Marine Cargo Staging Area</t>
  </si>
  <si>
    <t>Rough Grading, No Compaction</t>
  </si>
  <si>
    <t>Fine Grading, with Dozer, 6" Lifts</t>
  </si>
  <si>
    <t>1-1/2" Crushed Stone Base to  6" Deep</t>
  </si>
  <si>
    <t>8" Thick, Reinforced Concrete Pavement, 4500 PSI</t>
  </si>
  <si>
    <t>Note: Lightning protection and fence are calculated separately at stand-alone assets</t>
  </si>
  <si>
    <t>Shore Erosion Prevention Facility</t>
  </si>
  <si>
    <t>51/4</t>
  </si>
  <si>
    <t>Seawall concrete, precast, 5” - 6”, including ties or piling</t>
  </si>
  <si>
    <t>Large Commercial Project Reduction</t>
  </si>
  <si>
    <t>Small Craft Berthing</t>
  </si>
  <si>
    <t>Ship and boat docks, medium, 4" decking, Average piling, including fenders, railings, utilities; exclusive of buildings</t>
  </si>
  <si>
    <t>SF/FB</t>
  </si>
  <si>
    <t>Convert SF to FB:  Width of pier or wharf = 40.  Assume 1/2 pier, 1/2 wharf.  Average of (40 SF/2 FB + 40SF/1 FB) = 30 SF/FB</t>
  </si>
  <si>
    <t>FB = LF of Berthing</t>
  </si>
  <si>
    <t>Small Craft Building</t>
  </si>
  <si>
    <t>17/18</t>
  </si>
  <si>
    <t>Boat Storage Shed, Class S, Average, Metal on steel frame; boat racks &amp; minimum electrical/water service</t>
  </si>
  <si>
    <t>Miscellaneous Waterfront Facility</t>
  </si>
  <si>
    <t>Grading and Surplus disposal, High Cost</t>
  </si>
  <si>
    <t>66/2</t>
  </si>
  <si>
    <t xml:space="preserve">Concrete, 8", bar reinforced </t>
  </si>
  <si>
    <t>Harbor Marine Improvements</t>
  </si>
  <si>
    <t>Seawall Concrete, Precast, 5” - 6” including ties or piling</t>
  </si>
  <si>
    <t>Commercial Reduction</t>
  </si>
  <si>
    <t>Riprap, 6' Wide x 8' Tall, shore protection</t>
  </si>
  <si>
    <t>SY to LF</t>
  </si>
  <si>
    <t>Ave</t>
  </si>
  <si>
    <t>General Purpose Instruction Building</t>
  </si>
  <si>
    <t>Academic Instruction Building: Applied Instructions (Hands-on Training)</t>
  </si>
  <si>
    <t>Applied Instruction Building</t>
  </si>
  <si>
    <t>Band Training Facility</t>
  </si>
  <si>
    <t xml:space="preserve">USACE PAX Newsletter 3.2.2, 30 May 2018                                                         </t>
  </si>
  <si>
    <t>Training Support Center</t>
  </si>
  <si>
    <t>Reserve Training Facility</t>
  </si>
  <si>
    <t>Armed Forces Reserve Center</t>
  </si>
  <si>
    <t>Physical Education Building</t>
  </si>
  <si>
    <t>Physical Fitness Facility</t>
  </si>
  <si>
    <t>Organizational Classroom</t>
  </si>
  <si>
    <t>Academic Instruction Building: General Instruction (Lecture/Classroom)</t>
  </si>
  <si>
    <t>Indoor Firing Range and Supporting Facility</t>
  </si>
  <si>
    <t>Indoor Firing Range</t>
  </si>
  <si>
    <t>Flight Simulator Facility</t>
  </si>
  <si>
    <t>Academic Instruction Buildings: High Bay w/ Simulation Training - Large (&gt;18,000 SF)</t>
  </si>
  <si>
    <t>Physiological Training Facility</t>
  </si>
  <si>
    <t>Academic Instruction Buildings: High Bay w/ Simulation Training - Small (&lt;18,000 SF)</t>
  </si>
  <si>
    <t>Gas Training Facility</t>
  </si>
  <si>
    <t xml:space="preserve">USACE PAX Newsletters 3.2.2                                                        </t>
  </si>
  <si>
    <t>After-Action Review (AAR) Building - Small  (USACE PAX Newsletter 3.2.2, 6 April 2017)</t>
  </si>
  <si>
    <t>General Purpose Simulator Facility</t>
  </si>
  <si>
    <t>Training Pool and Tank</t>
  </si>
  <si>
    <t>Marshall and Swift Valuation, October 2017</t>
  </si>
  <si>
    <t>Pour Concrete Pool, 25 M x 50 M = 13,455 SF Surface Area</t>
  </si>
  <si>
    <t>18/22</t>
  </si>
  <si>
    <t>Natatorium, Class C, Good</t>
  </si>
  <si>
    <t>SF/EA</t>
  </si>
  <si>
    <t>18/36</t>
  </si>
  <si>
    <t>1 SM = 10.764 SF</t>
  </si>
  <si>
    <t>Range Support Building</t>
  </si>
  <si>
    <t>Ammunition Breakdown Building</t>
  </si>
  <si>
    <t>Operations/Storage Building Small</t>
  </si>
  <si>
    <t>Range Classroom Building</t>
  </si>
  <si>
    <t>After Action Review Building -Small (USACE PAX Newsletter 3.2.2, 6 April 2017)</t>
  </si>
  <si>
    <t xml:space="preserve">Covered Mess - Range (Small) </t>
  </si>
  <si>
    <t>Training Aids Support Building</t>
  </si>
  <si>
    <t>Training Aid Support Center for Range Complex</t>
  </si>
  <si>
    <t>Training Support Structure</t>
  </si>
  <si>
    <t>Covered Bleacher - Range  (Bleacher Enclosure), EA</t>
  </si>
  <si>
    <t>EA/SF</t>
  </si>
  <si>
    <t>Covered Mess - Range (Large) (USACE PAX Newsletter 3.2.2, 6 April 2017)</t>
  </si>
  <si>
    <t>Observation Tower/Bunker</t>
  </si>
  <si>
    <t>Parade and Drill Field</t>
  </si>
  <si>
    <t>66/8</t>
  </si>
  <si>
    <t>Soil preparation, Fine grading, Average</t>
  </si>
  <si>
    <t>SF to AC</t>
  </si>
  <si>
    <t>Hydroseeding, Average</t>
  </si>
  <si>
    <t>Rain Bird or Rain Jet system lawn sprinklers, large area</t>
  </si>
  <si>
    <t>General Purpose Small Arms Range</t>
  </si>
  <si>
    <t>Standard Size</t>
  </si>
  <si>
    <t>Section/ CATCODE</t>
  </si>
  <si>
    <t xml:space="preserve">SIT Emplacement (62 SF concrete x 8" thick with bar reinforcing), per FP </t>
  </si>
  <si>
    <t>SF per FP</t>
  </si>
  <si>
    <t>54/1</t>
  </si>
  <si>
    <t>Service Switchgear, 100 Amps, Light Commercial</t>
  </si>
  <si>
    <t>EA per FP</t>
  </si>
  <si>
    <t>Circuit Breaker, 240-480 Volts, 20-60 Amps</t>
  </si>
  <si>
    <t>54/3</t>
  </si>
  <si>
    <t>Outlet, Rigid Conduit, Average, with Ground Fault Interrupter, 4 per SIT</t>
  </si>
  <si>
    <t>54/2</t>
  </si>
  <si>
    <t>Underground Wiring, 2", plastic duct, plus excavation and backfill (574 FT Average Distance)</t>
  </si>
  <si>
    <t>LF per FP</t>
  </si>
  <si>
    <t>Foxhole with Drain (36" reinforced Concrete Culvert. 4' deep)</t>
  </si>
  <si>
    <t>Berm, 522 M x 2M x 5M = 6,828 CY; backfill &amp; compaction</t>
  </si>
  <si>
    <t>CY per FP</t>
  </si>
  <si>
    <t>Bank run gravel, Spread w/ 200 HP Dozer, including load at pit &amp; haul, 2 MI round trip, no compaction (409 CY per berm)</t>
  </si>
  <si>
    <t>Zero Range</t>
  </si>
  <si>
    <t>TC 25-8 Standard Size / Basic 10M-25M Firing Range (Zero)</t>
  </si>
  <si>
    <t>Foxhole with Drain (36" reinforced Concrete Storm Drainage, 4' deep)</t>
  </si>
  <si>
    <t>Range Components Price List</t>
  </si>
  <si>
    <t xml:space="preserve">Target Boots / 4 per FP; Concrete perimeter footing, 12" below grade </t>
  </si>
  <si>
    <t>EA to FP</t>
  </si>
  <si>
    <t>Reference</t>
  </si>
  <si>
    <t>End Item</t>
  </si>
  <si>
    <t xml:space="preserve">Component Price </t>
  </si>
  <si>
    <t>Underground Wiring, 2", plastic duct, plus excavation and backfill</t>
  </si>
  <si>
    <t>Berm, 148 M x 2 M x 5 M = 1,936 CY; backfill &amp; compaction</t>
  </si>
  <si>
    <t>17/31</t>
  </si>
  <si>
    <t>Urban Cluster (Bank Barn, 2-Story, Class D, Low Cost)  (Use Class C Current Cost Multiplier for consistency)</t>
  </si>
  <si>
    <t>Bank run gravel, Spread, 387 CY per berm</t>
  </si>
  <si>
    <t>Target Bunker (Catch Basin,  4' deep)</t>
  </si>
  <si>
    <t xml:space="preserve">SIT  / WSIT Emplacement or Vehicle Firing Point (62, 94, or 128 SF concrete x 8" thick with bar reinforcing) </t>
  </si>
  <si>
    <t xml:space="preserve">SAT Emplacement or VBP Defilade (468 or 481 SF concrete x 12" thick w/Rebar) </t>
  </si>
  <si>
    <t>MIT / MAT Emplacement 12" concrete wall or concrete bunker 12" concrete</t>
  </si>
  <si>
    <t>Field Fire Range</t>
  </si>
  <si>
    <t>TC 25-8 Standard Size / Automated Field Fire Range</t>
  </si>
  <si>
    <t>Slab on Grade, 6" reinforced</t>
  </si>
  <si>
    <t>SIT Emplacement (62 SF concrete x 8" thick w/Rebar), 3 per FP</t>
  </si>
  <si>
    <t>Service Switchgear, 200 Amps, Light Commercial</t>
  </si>
  <si>
    <t>Circuit Breaker, 240-480 Volts, 125-250 Amps</t>
  </si>
  <si>
    <t>Berm, 522 M x 2 M x 5 M = 6,828 CY; backfill &amp; compaction</t>
  </si>
  <si>
    <t>Rigid Conduit and Wiring, 1", includes tees, ells, junction boxes, hangars and fittings</t>
  </si>
  <si>
    <t>Bank run gravel, Spread, 1,044 CY per berm</t>
  </si>
  <si>
    <t>Trolleyway, 1 Ton, 50 FT / MIT</t>
  </si>
  <si>
    <t>Trolley, Motorized, 0.5 ton, 1 per MIT</t>
  </si>
  <si>
    <t>Record Fire Range</t>
  </si>
  <si>
    <t>TC 25-8 Standard Size / Automated Record Fire Range</t>
  </si>
  <si>
    <t>Utility tunnel, 3"-5" wall thickness, reinforced concrete, medium soil, 5'x7' cross-section, 504 LF</t>
  </si>
  <si>
    <t>Road, Plant Mix Asphalt Concrete surface, 3" thick, 1,500 SY</t>
  </si>
  <si>
    <t>SIT Emplacement (62 SF concrete x 8" thick with Rebar), 7 per FP</t>
  </si>
  <si>
    <t>8" Thick Reinforced Concrete Pavement,  4,500 PSI, 12' pass</t>
  </si>
  <si>
    <t>Berm, 522 M x 2 M x 5 M = 6,828 CY / Backfill &amp; compaction</t>
  </si>
  <si>
    <t>Bank run gravel, Spread, 409 CY per berm</t>
  </si>
  <si>
    <t>Underground Wiring, 2", plastic duct, 574 FT Average Distance, plus excavation and backfill</t>
  </si>
  <si>
    <t>10" Thick Reinforced Concrete Pavement, 4,500 PSI,  12' pass</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</si>
  <si>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</si>
  <si>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</si>
  <si>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</si>
  <si>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</si>
  <si>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</si>
  <si>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</si>
  <si>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Known Distance Range</t>
  </si>
  <si>
    <t>TC 25-8 Standard Size / 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</si>
  <si>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</si>
  <si>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</si>
  <si>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</si>
  <si>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</si>
  <si>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</si>
  <si>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</si>
  <si>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</si>
  <si>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</si>
  <si>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</si>
  <si>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</si>
  <si>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</si>
  <si>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</si>
  <si>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</si>
  <si>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</si>
  <si>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</si>
  <si>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</si>
  <si>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</si>
  <si>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</si>
  <si>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</si>
  <si>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</si>
  <si>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</si>
  <si>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</si>
  <si>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</si>
  <si>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</si>
  <si>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</si>
  <si>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</si>
  <si>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</si>
  <si>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</si>
  <si>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</si>
  <si>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</si>
  <si>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</si>
  <si>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</si>
  <si>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</si>
  <si>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</si>
  <si>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</si>
  <si>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TC 25-8 Standard Size / Grenade Launcher Range</t>
  </si>
  <si>
    <t>Target Berm, 1 M x 1 M x 2 M x 4 targets/lane = 2.6 CY; Backfill &amp; compaction</t>
  </si>
  <si>
    <t>Berm, 40 M x 1 M x 2 M = 104 CY; backfill &amp; compaction</t>
  </si>
  <si>
    <t>Bank run gravel, Spread, 104 CY per berm</t>
  </si>
  <si>
    <t>Grenade Machinegun Range</t>
  </si>
  <si>
    <t>Vehicle Firing Point (128 SF concrete x 8" thick with Rebar), Price per SY in PAX divided by 9 for SF</t>
  </si>
  <si>
    <t>SF per LN</t>
  </si>
  <si>
    <t>Berm, 20 M x 2 M x 1 M = 52 CY; backfill &amp; compaction</t>
  </si>
  <si>
    <t>CY per LN</t>
  </si>
  <si>
    <t>Bank run gravel, Spread, 20 CY per LN</t>
  </si>
  <si>
    <t xml:space="preserve">FAC 1762 design criteria is found in Army Field Manual (FM) 3-22.27, 40 mm Grenade Machinegun, and TC 25-8, identified in the latter as Category Code 17833, Automated Multipurpose Machine Gun (MPMG) Range.  </t>
  </si>
  <si>
    <t xml:space="preserve">• Selection as found in the U.S. Army Corps of Engineers (USACE) Programming Administration and Execution (PAX) System newsletter
• See “Range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</si>
  <si>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NFPA 101, Life Safety Code; or Unified Facilities Criteria (UFC) 3-600-01, Design: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</si>
  <si>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</si>
  <si>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</si>
  <si>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 specific design required.</t>
  </si>
  <si>
    <t xml:space="preserve">Documentation for business rules reflecting DoD established practices for components or materials  </t>
  </si>
  <si>
    <t>• M&amp;S Selection Business Rule
• MILCON Cost Premium Business Rule
• Range Business Rules</t>
  </si>
  <si>
    <t>Light Antiarmor Weapon Range (LAWR)</t>
  </si>
  <si>
    <t>TC 25-8 Standard Size / Light Antiarmor Range, Subcal</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</si>
  <si>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</si>
  <si>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</si>
  <si>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</si>
  <si>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</si>
  <si>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</si>
  <si>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</si>
  <si>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</si>
  <si>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</si>
  <si>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</si>
  <si>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</si>
  <si>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</si>
  <si>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</si>
  <si>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</si>
  <si>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</si>
  <si>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</si>
  <si>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</si>
  <si>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</si>
  <si>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</si>
  <si>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</si>
  <si>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</si>
  <si>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</si>
  <si>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</si>
  <si>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</si>
  <si>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</si>
  <si>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</si>
  <si>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</si>
  <si>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</si>
  <si>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</si>
  <si>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</si>
  <si>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</si>
  <si>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</si>
  <si>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</si>
  <si>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</si>
  <si>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</si>
  <si>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</si>
  <si>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</si>
  <si>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</si>
  <si>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</si>
  <si>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</si>
  <si>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</si>
  <si>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</si>
  <si>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</si>
  <si>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</si>
  <si>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</si>
  <si>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</si>
  <si>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</si>
  <si>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</si>
  <si>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</si>
  <si>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</si>
  <si>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</si>
  <si>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</si>
  <si>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</si>
  <si>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Scaled Indirect Fire Range</t>
  </si>
  <si>
    <t>Artillery Direct Firing Range (ADFR) = 6 Hasty Firing Positions per Range</t>
  </si>
  <si>
    <t>Scaled Gunnery Range (SGR)</t>
  </si>
  <si>
    <t>TC 25-8 Standard Size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</si>
  <si>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</si>
  <si>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</si>
  <si>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</si>
  <si>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</si>
  <si>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</si>
  <si>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</si>
  <si>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</si>
  <si>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</si>
  <si>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</si>
  <si>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</si>
  <si>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</si>
  <si>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</si>
  <si>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</si>
  <si>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</si>
  <si>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</si>
  <si>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</si>
  <si>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</si>
  <si>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</si>
  <si>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</si>
  <si>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</si>
  <si>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</si>
  <si>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</si>
  <si>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</si>
  <si>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</si>
  <si>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</si>
  <si>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</si>
  <si>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</si>
  <si>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</si>
  <si>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</si>
  <si>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</si>
  <si>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</si>
  <si>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</si>
  <si>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</si>
  <si>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</si>
  <si>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</si>
  <si>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</si>
  <si>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</si>
  <si>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</si>
  <si>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</si>
  <si>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 xml:space="preserve">• Selection as found in PAX newsletter
• See “Range Business Rules” and “Marshall and Swift Selection Business Rules” for type of materials
</t>
  </si>
  <si>
    <t xml:space="preserve">• The unit of measure is EA, each.  
• Size is per design found in US Army TC 25-8. 
</t>
  </si>
  <si>
    <t xml:space="preserve">The USACE Engineering and Support Center, Huntsville (HNC) Range and Training Land Program (RTLP) “program Information” section states “fire detection and protection are not typically required in Standard Range Facilities by either the National Fire Protection Association (NFPA) 101, Life Safety Code; or Unified Facilities Criteria (UFC) 3-600-01, Design: Fire Protection Engineering for Facilities … .”   </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</si>
  <si>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</si>
  <si>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</si>
  <si>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</si>
  <si>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</si>
  <si>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</si>
  <si>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</si>
  <si>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</si>
  <si>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</si>
  <si>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</si>
  <si>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</si>
  <si>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</si>
  <si>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</si>
  <si>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</si>
  <si>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</si>
  <si>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</si>
  <si>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</si>
  <si>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</si>
  <si>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</si>
  <si>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</si>
  <si>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</si>
  <si>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</si>
  <si>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</si>
  <si>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</si>
  <si>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</si>
  <si>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</si>
  <si>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</si>
  <si>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</si>
  <si>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</si>
  <si>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</si>
  <si>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</si>
  <si>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</si>
  <si>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</si>
  <si>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</si>
  <si>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</si>
  <si>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</si>
  <si>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</si>
  <si>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</si>
  <si>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</si>
  <si>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</si>
  <si>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</si>
  <si>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</si>
  <si>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</si>
  <si>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</si>
  <si>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</si>
  <si>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</si>
  <si>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</si>
  <si>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</si>
  <si>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</si>
  <si>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</si>
  <si>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</si>
  <si>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</si>
  <si>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</si>
  <si>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</si>
  <si>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</si>
  <si>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</si>
  <si>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</si>
  <si>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</si>
  <si>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</si>
  <si>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</si>
  <si>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Urban Cluster / Bank Barn, 2 Story (20' x 20'), Class D, Low Cost x 2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</si>
  <si>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</si>
  <si>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</si>
  <si>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</si>
  <si>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</si>
  <si>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</si>
  <si>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</si>
  <si>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</si>
  <si>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</si>
  <si>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</si>
  <si>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</si>
  <si>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</si>
  <si>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</si>
  <si>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Outlet, Rigid Conduit, Average, with Ground Fault Interrupter (5 per SAT; 4 per SIT)</t>
  </si>
  <si>
    <t>Trail Grading, Fine Grading for Roadways, Base Course 1,913 SY</t>
  </si>
  <si>
    <t>Total Berm, 400 M x 2 M x 1 M = 1,046 CY, Backfill &amp; compaction</t>
  </si>
  <si>
    <t>Bank run gravel, Spread, 628 CY per Range</t>
  </si>
  <si>
    <t>Machine gun bunker (144 SF concrete x 8" with rebar), 2 per Range</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</si>
  <si>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</si>
  <si>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</si>
  <si>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</si>
  <si>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</si>
  <si>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</si>
  <si>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</si>
  <si>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</si>
  <si>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</si>
  <si>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</si>
  <si>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</si>
  <si>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</si>
  <si>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</si>
  <si>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</si>
  <si>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</si>
  <si>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</si>
  <si>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</si>
  <si>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</si>
  <si>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</si>
  <si>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</si>
  <si>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</si>
  <si>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</si>
  <si>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</si>
  <si>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</si>
  <si>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</si>
  <si>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Fire And Rescue Training Facility</t>
  </si>
  <si>
    <t>15/29</t>
  </si>
  <si>
    <t>Fire Training Tower</t>
  </si>
  <si>
    <t>CF to EA</t>
  </si>
  <si>
    <t xml:space="preserve">66/11 </t>
  </si>
  <si>
    <t>Polyethylene chamber water detention system, complete, 5,000 GA</t>
  </si>
  <si>
    <t>GA to EA</t>
  </si>
  <si>
    <t>Stormwater drainage pond, 1/8 AC</t>
  </si>
  <si>
    <t xml:space="preserve">Unified Facilities Criteria (UFC) UFC 4-179-01, "Design Navy Firefighting Schools;" and, National Fire Protection Association (NFPA) 1402, "Guide to Building Fire Service Training Centers," provide general guidance for Fire and Rescue Training Facilities. </t>
  </si>
  <si>
    <t xml:space="preserve">Neither NFPA 1402 nor UFC 4-179-01 limit the choice of materials, masonry (brick, cast-in-place, tilt-up concrete) with steel structural members are described.  </t>
  </si>
  <si>
    <t xml:space="preserve">NFPA 1402 recommends no sprinkler system as repetitive use of extinguishing chemicals, recycled water used in the training process and smoke particulates will render the sprinklers unserviceable .
</t>
  </si>
  <si>
    <t xml:space="preserve">No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</si>
  <si>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UFC requirement exists for the incorporation of overhead cranes.
</t>
  </si>
  <si>
    <t xml:space="preserve">No UFC criteria exist for component material. </t>
  </si>
  <si>
    <t>• M&amp;S Selection Business Rule
• Fire Sprinkler Business Rule
• Overhead Crane Business Rule
• MILCON Cost Premium Business Rule</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</si>
  <si>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</si>
  <si>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</si>
  <si>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</si>
  <si>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</si>
  <si>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</si>
  <si>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</si>
  <si>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</si>
  <si>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</si>
  <si>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</si>
  <si>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</si>
  <si>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CF to SF</t>
  </si>
  <si>
    <t>Machine gun bunker (144 SF concrete x 8" w/rebar), 4 EA</t>
  </si>
  <si>
    <t>Bank run gravel, Spread, 4,622 CY per Range</t>
  </si>
  <si>
    <t>CY per SF</t>
  </si>
  <si>
    <t>Backfill &amp; compaction, 2,020 CY</t>
  </si>
  <si>
    <t xml:space="preserve">FAC 1796 design criteria is found in the United States Army Training Circular (TC) 25-8.    
</t>
  </si>
  <si>
    <t xml:space="preserve">• Selection of material per PAX newsletter
• See “Range Business Rules” and “Marshall and Swift Selection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</si>
  <si>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National Fire Protection Association (NFPA) 101, Life Safety Code; or UFC 3-600-01,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</si>
  <si>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</si>
  <si>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</si>
  <si>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site-specific design required.</t>
  </si>
  <si>
    <t>• M&amp;S Selection Business Rule
• Elevator Business Rule
• Fire Sprinkler Business Rule
• Overhead Crane Business Rule
• MILCON Cost Premium Business Rule
• Range Business Rules</t>
  </si>
  <si>
    <t>Hand Grenade Range, Non-Firing</t>
  </si>
  <si>
    <t>TC 25-8 Standard Size / Hand Grenade Qualification Course</t>
  </si>
  <si>
    <t>2 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</si>
  <si>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</si>
  <si>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</si>
  <si>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</si>
  <si>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</si>
  <si>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</si>
  <si>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</si>
  <si>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</si>
  <si>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</si>
  <si>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</si>
  <si>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</si>
  <si>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</si>
  <si>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</si>
  <si>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</si>
  <si>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</si>
  <si>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Cut/fill/compact: track between obstacles = 17 * 30 YD x 6 YD = 3,060 SY * 2/3 YD average depth = 2,040 CY</t>
  </si>
  <si>
    <t xml:space="preserve">CY </t>
  </si>
  <si>
    <t>SY to SF</t>
  </si>
  <si>
    <t>Stabilize running track, geotextile fabric</t>
  </si>
  <si>
    <t>Mulch, running track</t>
  </si>
  <si>
    <t>51/7</t>
  </si>
  <si>
    <t>18 stations, wood pole frames, 12"- 14", average of 4 EA, 20 FT = 1,440 LF each station</t>
  </si>
  <si>
    <t>18 stations, wood beams and columns, 4"x4", average of 14 each, 10 FT, 2,520 LF each station</t>
  </si>
  <si>
    <t>Aircraft Maintenance Hangar</t>
  </si>
  <si>
    <t>Maintenance Hangars: General Purpose, Low-Mid Bay, Up to 40 FT  High</t>
  </si>
  <si>
    <t>Aircraft Maintenance Shop</t>
  </si>
  <si>
    <t>14/14</t>
  </si>
  <si>
    <t>14/16</t>
  </si>
  <si>
    <t>14/29</t>
  </si>
  <si>
    <t>Average of three Building types</t>
  </si>
  <si>
    <t>53/12</t>
  </si>
  <si>
    <t>Air foam fire extinguishing system, high expansion, 15,000 CFM</t>
  </si>
  <si>
    <t>EA to SF</t>
  </si>
  <si>
    <t xml:space="preserve">Bridge crane, 10 ton, 50 FT span </t>
  </si>
  <si>
    <t>Sprinkler Early Suppression Fast Response system and pump</t>
  </si>
  <si>
    <t>Sprinkler, 10,000 SF, Wet System, Excellent</t>
  </si>
  <si>
    <t xml:space="preserve">Unified Facilities Criteria (UFC) 4-211-01,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</si>
  <si>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</si>
  <si>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International Building Code Group B
UFC 4-211-01 directs use of both a high level wet sprinkler as well as a low level foam system. 
</t>
  </si>
  <si>
    <t xml:space="preserve">No UFC requirement exists for the incorporation of a loading dock.
The average number of floors is 1.3, yielding no elevators for the number of occupants, applying the Elevator Business Rule.  
</t>
  </si>
  <si>
    <t>Criteria for components and materials are included in UFC 4-211-01.</t>
  </si>
  <si>
    <t>• M&amp;S Selection Business Rule
• Elevator Business Rule
• Fire Sprinkler Business Rule
• Overhead Crane Business Rule
• MILCON Cost Premium Business Rule</t>
  </si>
  <si>
    <t>Aircraft Corrosion Control Hangar</t>
  </si>
  <si>
    <t>Maintenance Hangars:, Aircraft Corrosion Control Maintenance</t>
  </si>
  <si>
    <t>Aircraft Engine Test Building</t>
  </si>
  <si>
    <t>Aircraft Engine Test facility</t>
  </si>
  <si>
    <t>Aircraft Maintenance Hangar, Depot</t>
  </si>
  <si>
    <t>Maintenance Hangars: High Bay Maintenance, Over 40 FT High</t>
  </si>
  <si>
    <t>Aircraft Maintenance Shop, Depot</t>
  </si>
  <si>
    <t>USACE PAX Newsletter 3.2.2, 24 July 2014</t>
  </si>
  <si>
    <t>Aircraft Component Repair Shop (Machine Shop)</t>
  </si>
  <si>
    <t>Aircraft Engine Test Facility</t>
  </si>
  <si>
    <t>USACE PAX Newsletter 3.2.2, 4 January 2011</t>
  </si>
  <si>
    <t>Missile Maintenance &amp; Assembly Building</t>
  </si>
  <si>
    <t>Extended Cost</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</si>
  <si>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</si>
  <si>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</si>
  <si>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</si>
  <si>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</si>
  <si>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</si>
  <si>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</si>
  <si>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</si>
  <si>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</si>
  <si>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</si>
  <si>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 xml:space="preserve">Dock bumpers, 10 LF </t>
  </si>
  <si>
    <t>Dock seal, 10" projection</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</si>
  <si>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</si>
  <si>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</si>
  <si>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An overhead crane is provided, applying the Overhead Crane Business Rule.  </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</si>
  <si>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</si>
  <si>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</si>
  <si>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</si>
  <si>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</si>
  <si>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</si>
  <si>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</si>
  <si>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</si>
  <si>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</si>
  <si>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</si>
  <si>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</si>
  <si>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</si>
  <si>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</si>
  <si>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</si>
  <si>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</si>
  <si>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</si>
  <si>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</si>
  <si>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</si>
  <si>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</si>
  <si>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</si>
  <si>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</si>
  <si>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</si>
  <si>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</si>
  <si>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</si>
  <si>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</si>
  <si>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</si>
  <si>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</si>
  <si>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</si>
  <si>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ICBM Processing Facility</t>
  </si>
  <si>
    <t>Sprinkler, 30,000 SF, Dry System, Excellent</t>
  </si>
  <si>
    <t>Hazard occupancy sprinkler, add 15%</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</si>
  <si>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</si>
  <si>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</si>
  <si>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</si>
  <si>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</si>
  <si>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International Building Code (IBC) Group H.
A fire sprinkler has been incorporated, applying the Fire Sprinkler Business Rule.
</t>
  </si>
  <si>
    <t>An overhead crane is provided, applying the Overhead Crane Business Rule.  A craneway is included in the building's unit cost.</t>
  </si>
  <si>
    <t>Ship Maintenance Drydock</t>
  </si>
  <si>
    <t>RUC with Military Cost Premium.  Survey cost data comprised of commercial assets.</t>
  </si>
  <si>
    <t>Marine Maintenance Shop</t>
  </si>
  <si>
    <t>Maintenance Shops: Installation Maintenance, General Purpose</t>
  </si>
  <si>
    <t>Marine Maintenance Support Facility</t>
  </si>
  <si>
    <t>Industrial, Heavy (Process) Manufacturing, Class B, Average, including craneways, elevator &amp; HVAC system</t>
  </si>
  <si>
    <t>Sprinkler, 15,000 SF, Dry System, Average</t>
  </si>
  <si>
    <t>Bridge Crane, 10 Ton, Span = 75 FT</t>
  </si>
  <si>
    <t>14/27</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</si>
  <si>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</si>
  <si>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B, Average Quality.
</t>
  </si>
  <si>
    <t xml:space="preserve">International Building Code Group F
A fire sprinkler has been incorporated, applying the Fire Sprinkler Business Rule.
</t>
  </si>
  <si>
    <t xml:space="preserve">• MILCON Cost Premium Business rule
• Fire Sprinkler Business Rule
• M&amp;S Selection Business Rule
• Overhead Crane Business Rule
• Elevator Business Rule
</t>
  </si>
  <si>
    <t>Landing Craft Wash Facility</t>
  </si>
  <si>
    <t>Vehicle Maintenance Shop</t>
  </si>
  <si>
    <t>Vehicle Maintenance Shop, Depot</t>
  </si>
  <si>
    <t>Vehicle Maintenance Shop, National Guard</t>
  </si>
  <si>
    <t>Vehicle Maintenance Shop, Reserve</t>
  </si>
  <si>
    <t>Vehicle Maintenance Facility</t>
  </si>
  <si>
    <t>Grease Rack (USACE PAX Newsletter, 04 Jan 2011)</t>
  </si>
  <si>
    <t>Vehicle Maintenance Shed</t>
  </si>
  <si>
    <t>POL Storage Bldg. - Tactical Equipment Maintenance Facility (TEMF)</t>
  </si>
  <si>
    <t>Hazardous Waste Storage Bldg. - Tactical Equipment Maintenance Facility (TEMF)</t>
  </si>
  <si>
    <t>Weapon Maintenance Shop</t>
  </si>
  <si>
    <t>Weapon Maintenance Shop, Depot</t>
  </si>
  <si>
    <t>Section/ Page</t>
  </si>
  <si>
    <t>Structure or Feature</t>
  </si>
  <si>
    <t>Valuation</t>
  </si>
  <si>
    <t>Conversion (As Needed)</t>
  </si>
  <si>
    <t>Extended Value</t>
  </si>
  <si>
    <t>Bridge Crane, 75 FT span, 10 Ton capacity</t>
  </si>
  <si>
    <t>Overhead door, rollup, 9 FT x 9 FT (81 SF)</t>
  </si>
  <si>
    <t>Door electric operation</t>
  </si>
  <si>
    <t>Dock bumpers, horizontal, 10 LF, 2 sets</t>
  </si>
  <si>
    <t>Dock Seal, 10" projection, 2 EA</t>
  </si>
  <si>
    <t xml:space="preserve">OSD Design Criteria Unified Facilities Criteria (UFC) 2-000-05N provides planning criteria for category code 200-series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</si>
  <si>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UFC 3-340-02, Chapter 3,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</si>
  <si>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UFC 3-600-01, "Fire Protection Engineering for Facilities,"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International Building Code (IBC) classification group H, Hazard.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</si>
  <si>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
  </si>
  <si>
    <t xml:space="preserve"> A bridge crane is provided in the calculation of replacement unit cost in consonance with the overhead crane business rule.  A craneway is included in the building's unit cost.</t>
  </si>
  <si>
    <t>• MILCON Cost Premium Business Rule
• M&amp;S Selection Business Rule
• Overhead Crane Business Rule
• Elevator Business Rule</t>
  </si>
  <si>
    <t>Weapon Maintenance Facility Depot</t>
  </si>
  <si>
    <t>Industrials, Heavy (Process) Manufacturing Building, Class A, Average, includes craneway (Deduct $2.29 / SF for no included elevator)</t>
  </si>
  <si>
    <t>Bridge Crane, 50' span, 10 Ton capacity, 1 EA</t>
  </si>
  <si>
    <t>SF Conversion</t>
  </si>
  <si>
    <t>Sprinkler, 10,000 SF, Wet System, Good</t>
  </si>
  <si>
    <t>Ammunition Maintenance Shop</t>
  </si>
  <si>
    <t>Bridge Crane, 50' span, 5 Ton capacity, 1 EA</t>
  </si>
  <si>
    <t>1 EA</t>
  </si>
  <si>
    <t>Shipping dock, one 12' x 12' dock (144 SF)</t>
  </si>
  <si>
    <t>SF of dock</t>
  </si>
  <si>
    <t>SF dock per SF FAC</t>
  </si>
  <si>
    <t>Sprinkler, 5,000 SF, Wet System, Average</t>
  </si>
  <si>
    <t xml:space="preserve">Hazard occupancy sprinkler (Add 15% of system unit cost) </t>
  </si>
  <si>
    <t>Ammunition Maintenance Shop, Depot</t>
  </si>
  <si>
    <t xml:space="preserve">Unified Facilities Criteria (UFC) for Multi-Disciplinary and Facility Specific Design (3-101-01, Architecture, and 4-200 Maintenance and Production Facilities, do not provide guidance for this FAC.   </t>
  </si>
  <si>
    <t xml:space="preserve">• Military Construction Cost Premium
• Fire Sprinkler Business Rule
• M&amp;S Selection Business Rule
• Overhead Crane Business Rule
• Elevator Business Rule
</t>
  </si>
  <si>
    <t>Ammunition Maintenance Facility,  Depot</t>
  </si>
  <si>
    <t>Electronic and Communication Maintenance Shop</t>
  </si>
  <si>
    <t>Electronics Maintenance Shop - Depot Level</t>
  </si>
  <si>
    <t>Electronic and Communication Maintenance Shop, Depot</t>
  </si>
  <si>
    <t>Electronic and Communication Maintenance Facility</t>
  </si>
  <si>
    <t>Triangular Guyed Tower, 54" Master TV systems, high cost</t>
  </si>
  <si>
    <t>Installation Support Vehicle Maintenance Shop</t>
  </si>
  <si>
    <t>Installation Support Equipment Maintenance Shop</t>
  </si>
  <si>
    <t>Railroad Equipment Shop</t>
  </si>
  <si>
    <t>Parachute And Dinghy Maintenance Shop</t>
  </si>
  <si>
    <t>Table 2, UFC 3-701-1, Change 5, October 2012</t>
  </si>
  <si>
    <t xml:space="preserve">Maintenance Shops: Parachute And Dinghy Maintenance </t>
  </si>
  <si>
    <t>Facilities Pricing Guide, Change 5, GUCs are as of October 2012</t>
  </si>
  <si>
    <t>Installation Support Equipment Maintenance Shed</t>
  </si>
  <si>
    <t>Organizational Storage Building</t>
  </si>
  <si>
    <t>Facility Engineer Maintenance Shop</t>
  </si>
  <si>
    <t>Bridge crane, 10 Ton, 50' span</t>
  </si>
  <si>
    <t>Craneway, 10 Ton, 100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</si>
  <si>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</si>
  <si>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</si>
  <si>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</si>
  <si>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International Building Code (IBC) Group F.
DoD facilities are designed in compliance with National Fire Protection Association (NFPA) 13  and UFC 3-600-01, "Fire Protection Engineering for Facilities."  UFC 3-600-01 refers the designer to the IBC.  The Fire Sprinkler Business Rule incorporates the requirements of NFPA, UFC 3-600-01 and the IBC, and requires a sprinkler only when the fire area exceeds 12,000 SF for Group F Occupancies.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</si>
  <si>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1.09; applying the Elevator Business Rule, no elevator is incorporated. 
</t>
  </si>
  <si>
    <t xml:space="preserve">Applying the Overhead Crane Business Rule, a bridge crane is provided in the estimate.   A craneway is included in the building's unit cost.
</t>
  </si>
  <si>
    <t xml:space="preserve">No UFC criteria exists for components or materials.
</t>
  </si>
  <si>
    <t xml:space="preserve">• Military Construction Cost Premium
• Fire Sprinkler Business Rule
• M&amp;S Selection Business Rule
• Overhead Crane Business Rule
</t>
  </si>
  <si>
    <t>Facility Engineer Maintenance Facility</t>
  </si>
  <si>
    <t>Sprinkler, 5,000 SF, Wet System, average</t>
  </si>
  <si>
    <t>Average Size taken from FAC 2191</t>
  </si>
  <si>
    <t>Aircraft Production Plant</t>
  </si>
  <si>
    <t>Industrial, Heavy (Process) Manufacturing, Class A, Average, including HVAC, elevator, and craneway</t>
  </si>
  <si>
    <t>Bridge Crane, 10 ton, span = 100 ft, 2 EA</t>
  </si>
  <si>
    <t>Overhead door, roll-up, 81 SF/door, 12 EA</t>
  </si>
  <si>
    <t>Overhead door, electrical operator, 12 EA</t>
  </si>
  <si>
    <t>Dock bumpers, Horizontal, 10 LF</t>
  </si>
  <si>
    <t>LF per UM</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</si>
  <si>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</si>
  <si>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Industrial Building Manufacturing (495), Class A, Average Quality.  It should be noted this differs from an aircraft hangar, as it is primarily a plant to produce aircraft assemblies, parts and therefore includes heavy industrial machinery.
</t>
  </si>
  <si>
    <t xml:space="preserve">International Building Code (IBC) Group F.
A fire sprinkler has been incorporated, applying the Fire Sprinkler Business Rule.
</t>
  </si>
  <si>
    <t xml:space="preserve">• M&amp;S Selection Business Rule
• Elevator Business Rule
• Fire Sprinkler Business Rule
• Overhead Crane Business Rule
• MILCON Cost Premium Business Rule
</t>
  </si>
  <si>
    <t>Missile Production Plant</t>
  </si>
  <si>
    <t>Bridge Crane, 10 Ton, 1 EA, Span = 75 ft</t>
  </si>
  <si>
    <t>Ship Production Plant</t>
  </si>
  <si>
    <t>Bridge Crane, 10 Ton, 2 EA, Span = 100 ft</t>
  </si>
  <si>
    <t>2 EA</t>
  </si>
  <si>
    <t>Tank/Automotive Production Plant</t>
  </si>
  <si>
    <t>Tank/Automotive Production Facility</t>
  </si>
  <si>
    <t xml:space="preserve">Industrials, Heavy (Process) Manufacturing, Class C Mill, Average </t>
  </si>
  <si>
    <t>Sprinkler, Wet System, 2,500 SF, Average</t>
  </si>
  <si>
    <t>Weapon Production Plant</t>
  </si>
  <si>
    <t>Craneway electrical conductor assembly</t>
  </si>
  <si>
    <t>LF Conversion</t>
  </si>
  <si>
    <t>Sprinkler, Dry System, 50,000 SF, average</t>
  </si>
  <si>
    <t>Weapon Production Facility</t>
  </si>
  <si>
    <t>Sprinkler, Wet System, 2,500 SF, Good</t>
  </si>
  <si>
    <t>Ammunition Production Plant</t>
  </si>
  <si>
    <t>Bridge Crane, 10 Ton capacity, 1 EA, Span = 50 ft</t>
  </si>
  <si>
    <t>Sprinkler, Dry System, 5,000 SF, Average</t>
  </si>
  <si>
    <t>Ammunition Production Facility</t>
  </si>
  <si>
    <t>Industrials, Heavy (Process) Manufacturing, Class A, Average, including craneway (Deduct $2.29 for no included elevator)</t>
  </si>
  <si>
    <t>Ammunition Demilitarization Plant</t>
  </si>
  <si>
    <t>USACE PAX Newsletter 3.2.2, 20 Mar 2009</t>
  </si>
  <si>
    <t>Ammunition DEMIL Facility</t>
  </si>
  <si>
    <t>Ammunition Demilitarization Facility</t>
  </si>
  <si>
    <t>Borrow, Common Fill, Spread, no Compaction</t>
  </si>
  <si>
    <t>Backfill and Compaction, Dozer, 1 x 12" lift</t>
  </si>
  <si>
    <t>Fine Grading for Small Irregular Areas &lt; 15,000 SY</t>
  </si>
  <si>
    <t>Bank Run Gravel, Spread, no Compaction, 8" lift</t>
  </si>
  <si>
    <t>Electronic and Communication Production Plant</t>
  </si>
  <si>
    <t>Sprinkler, Dry System, 60,000 SF, Average</t>
  </si>
  <si>
    <t>Miscellaneous Support Production Plant</t>
  </si>
  <si>
    <t>Craneway, 144 LF x 2 = 288 LF</t>
  </si>
  <si>
    <t>Sprinkler, Dry System, 10,000 SF, Average</t>
  </si>
  <si>
    <t>Construction Material Production Plant</t>
  </si>
  <si>
    <t>14/41</t>
  </si>
  <si>
    <t>RDT&amp;E Laboratory</t>
  </si>
  <si>
    <t>Sprinkler, Dry System, 15,000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</si>
  <si>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</si>
  <si>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  
</t>
  </si>
  <si>
    <t xml:space="preserve">UFC 1-200-01 and UFC 3-600-01 require compliance with the IBC.  
IBC Group B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</si>
  <si>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</si>
  <si>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</si>
  <si>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</si>
  <si>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Medical Research Laboratory</t>
  </si>
  <si>
    <t>Fume hood air &amp; ventilation</t>
  </si>
  <si>
    <t>Sprinkler, Dry System, 30,000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</si>
  <si>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</si>
  <si>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</si>
  <si>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</si>
  <si>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</si>
  <si>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</si>
  <si>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 xml:space="preserve">Fume Hood air &amp; ventilation </t>
  </si>
  <si>
    <t>52/6</t>
  </si>
  <si>
    <t>Clean Room, 100-10 microns, hardwall,  400 sf;   Assume 6 clean rooms</t>
  </si>
  <si>
    <t>Biosafety Level 4 Laboratory</t>
  </si>
  <si>
    <t>Clean Room, 100-10 microns, hardwall, 300 SF;   Assume 1 clean room</t>
  </si>
  <si>
    <t>Sprinkler, Dry System, 2500 SF, Average</t>
  </si>
  <si>
    <t>Aircraft RDT&amp;E Facility</t>
  </si>
  <si>
    <t>USACE PAX Newsletter 3.2.2,                                                           Various Publications</t>
  </si>
  <si>
    <t>Chemistry Lab (USACE PAX Newsletter, 20 March 2009)</t>
  </si>
  <si>
    <t>Aircraft Component Repair Shop (USACE PAX Newsletter, 24 July 2014)</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</si>
  <si>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</si>
  <si>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</si>
  <si>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</si>
  <si>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</si>
  <si>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</si>
  <si>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Sprinkler, 20,000 SF, Dry System, Average</t>
  </si>
  <si>
    <t>Craneway, 172 LF x 2 = 344 LF</t>
  </si>
  <si>
    <t>Overhead door electric operator</t>
  </si>
  <si>
    <t>Dock bumpers, 10 LF, 3 EA</t>
  </si>
  <si>
    <t>Dock leveler, hydraulic, 3 EA</t>
  </si>
  <si>
    <t>Dock shelter, 3 EA</t>
  </si>
  <si>
    <t xml:space="preserve">Unified Facilities Criteria (UFC) for Multi-Disciplinary and Facility Specific Design (3-101-01 Architecture; and 4-300 RDT&amp;E Facilities  do not provide guidance for this FAC.   
</t>
  </si>
  <si>
    <t xml:space="preserve">International Building Code Group B
A fire sprinkler has been incorporated, applying the Fire Sprinkler Business Rule.
</t>
  </si>
  <si>
    <t>An overhead crane is provided, applying the Overhead Crane Business Rule.  A craneway is not included in the building's unit cost.</t>
  </si>
  <si>
    <t xml:space="preserve">UFC 3-101-01, "Architecture," 28 November 2011, with Change 3, 20 June 2016.
UFC 4-300-xx (Series), Research, Development, Test and Evaluation Facilities
Commercial Real Estate Development Association, NAIOP Research Foundation, “NAIOP Terms and Definitions: North American Office and Industrial Market, pg. 12.
UFGS-11 13 19.13, "Loading Dock Levelers," 01 August 2009
</t>
  </si>
  <si>
    <t>Tank and Automotive RDT&amp;E Facility</t>
  </si>
  <si>
    <t>Industrial, Engineering (Research &amp; Development) Building, Class B, Average, including elevator (Deduct $2.42/SF for no included elevator)</t>
  </si>
  <si>
    <t>Overhead door, roll-up, 9 FT x 9 FT door, 81 SF/door</t>
  </si>
  <si>
    <t>Weapons RDT&amp;E Facility</t>
  </si>
  <si>
    <t>Extended Price</t>
  </si>
  <si>
    <t>LF to UM</t>
  </si>
  <si>
    <t>Overhead door, roll-up</t>
  </si>
  <si>
    <t>per SF door</t>
  </si>
  <si>
    <t>SF per door</t>
  </si>
  <si>
    <t>Dock bumpers</t>
  </si>
  <si>
    <t>Dock leveler</t>
  </si>
  <si>
    <t>Hazard occupancy sprinkler (add 15% of sprinkler cost)</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</si>
  <si>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</si>
  <si>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(General Building Requirements),” 20 June 2016, with Change 1, 01 February 2018, "DoD Building Code;" UFC 3-600-01, "Fire Protection Engineering for Facilities;"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</si>
  <si>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</si>
  <si>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A bridge crane has been incorporated into the replacement unit cost in consonance with the Overhead Crane Business Rule.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</si>
  <si>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Commercial Real Estate Development Association, NAIOP Research Foundation, “NAIOP Terms and Definitions: North American Office and Industrial Market, pg. 12.
UFGS-11 13 19.13, August 2009
</t>
  </si>
  <si>
    <t>Ammunition, Explosive and Toxic RDT&amp;E Facility</t>
  </si>
  <si>
    <t>EA/SF Conversion</t>
  </si>
  <si>
    <t>Craneway, 10 Ton, 2 x 75 FT = 150 LF</t>
  </si>
  <si>
    <t>x LF Conversion</t>
  </si>
  <si>
    <t>Sprinkler, Dry System, 5,000 SF, average</t>
  </si>
  <si>
    <t>Hazard occupancy sprinkler</t>
  </si>
  <si>
    <t xml:space="preserve">Unified Facilities Criteria (UFC) for Multi-Disciplinary and Facility Specific Design (4 Series) is not provided for this type of facility.  The only UFC in the 4-300 Series for RDT&amp;E facilities is 4-390-01, “O&amp;M: Unmanned Pressure Test Facilities Safety Certification Manual” which does not apply.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</si>
  <si>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</si>
  <si>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UFC 1-200-01 and UFC 3-600-01 require compliance with the IBC.  
IBC Group H, Hazard
Fire suppression has been included in this Replacement Unit Cost, consistent with the Fire Sprinkler Business Rule.
</t>
  </si>
  <si>
    <t xml:space="preserve">No UFC requirement exists for the incorporation of a loading dock
No elevator is provided in consonance with the Elevator Business Rules.
</t>
  </si>
  <si>
    <t>An overhead crane is provided in consonance with the Overhead Crane Business Rule.  A craneway is not included in the building's unit cost.</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</si>
  <si>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</si>
  <si>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</si>
  <si>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Electronic and Communication RDT&amp;E Facility</t>
  </si>
  <si>
    <t>Overhead door, roll-up, 81 SF/door</t>
  </si>
  <si>
    <t xml:space="preserve">Unified Facilities Criteria (UFC) for Multi-Disciplinary and Facility Specific Design (3-101-01 Architecture; and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</si>
  <si>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</si>
  <si>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The average area for this FAC is 11,022 SF.
The Occupancy Group assigned is B, Business.
</t>
  </si>
  <si>
    <t xml:space="preserve">International Building Code (IBC) Group B
A fire sprinkler has been incorporated, applying the Fire Sprinkler Business Rule.
</t>
  </si>
  <si>
    <t xml:space="preserve">No UFC criteria exist for component material </t>
  </si>
  <si>
    <t>UFC 3-101-01, "Architecture," 28 November 2011, with Change 3, 20 June 2016.
Commercial Real Estate Development Association, NAIOP Research Foundation, “NAIOP Terms and Definitions: North American Office and Industrial Market, pg. 12.
UFGS-11 13 19.13, August 2009
IBC, 2018 edition</t>
  </si>
  <si>
    <t>Propulsion RDT&amp;E Facility</t>
  </si>
  <si>
    <t>FAC                  Average  Size</t>
  </si>
  <si>
    <t>Bridge Crane, 10 Ton, 1 ea., Span = 50 ft</t>
  </si>
  <si>
    <t xml:space="preserve">LF to UM </t>
  </si>
  <si>
    <t>Craneway, 10 Ton, 130 LF x 2</t>
  </si>
  <si>
    <t>Dock seal, 10 " projection</t>
  </si>
  <si>
    <t>Sprinkler, Wet System, 10,000 SF, Average</t>
  </si>
  <si>
    <t>Hazard occupancy sprinkler (add 15% to sprinkler cost)</t>
  </si>
  <si>
    <t>Note: "Section" refers to the A2257:L2265Marshall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</si>
  <si>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(IBC).  The building use category is H, Hazardous.
</t>
  </si>
  <si>
    <t xml:space="preserve">The average area for this FAC is 9,903 SF.
The building use category is H, Hazardous.
</t>
  </si>
  <si>
    <t xml:space="preserve">UFC 1-200-01, and UFC 3-600-01 require compliance with the IBC.  
IBC Group H.
Fire suppression has been included in this Replacement Unit Cost, consistent with the Fire Sprinkler Business Rule.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</si>
  <si>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1 loading dock assemblies is provided.   
The guide specification for design of a loading dock is contained in the Unified Facilities Guide Specification . 
No elevator has been is provided in consonance with the Elevator Business Rules.</t>
  </si>
  <si>
    <t>Miscellaneous Item and Equipment RDT&amp;E Facility</t>
  </si>
  <si>
    <t>Industrial, Engineering (Research &amp; Development) Building, Class B, Average, including elevator (Deduct $2.42 for no included elevator)</t>
  </si>
  <si>
    <t>Bridge crane, 10 Ton, 50 FT span</t>
  </si>
  <si>
    <t>Craneway, 10 TON, 115 FT x 2 = 230 FT</t>
  </si>
  <si>
    <t xml:space="preserve">Unified Facilities Criteria (UFC) for Multi-Disciplinary and Facility Specific Design (UFC 3-101-01, Architecture; and UFC 4-300 (series), RDT&amp;E Facilities)  do not provide guidance for this FAC.   
</t>
  </si>
  <si>
    <t xml:space="preserve">No UFC criteria exist for component. material.  
Applying the Marshall and Swift  Selection Business Rule, the FAC is  Marshall &amp; Swift RDT&amp;E Building. Class B, Average Quality.
</t>
  </si>
  <si>
    <r>
      <rPr>
        <sz val="11"/>
        <color theme="1"/>
        <rFont val="Calibri"/>
        <family val="2"/>
        <scheme val="minor"/>
      </rPr>
      <t>The average area for this FAC is 8,120 SF.</t>
    </r>
    <r>
      <rPr>
        <sz val="11"/>
        <rFont val="Calibri"/>
        <family val="2"/>
        <scheme val="minor"/>
      </rPr>
      <t xml:space="preserve">
The Occupancy Group assigned is B, Business.
</t>
    </r>
  </si>
  <si>
    <t xml:space="preserve">International Building Code Group B.
A fire sprinkler has been incorporated.
</t>
  </si>
  <si>
    <t>One overhead crane is provided, applying the Overhead Crane Business Rule.  A craneway is not included in the building's unit cost.</t>
  </si>
  <si>
    <t xml:space="preserve"> UFC 3-101-01, "Architecture," 28 November 2011, with Change 3, 20 June 2016.
 Commercial Real Estate Development Association, NAIOP Research Foundation, “NAIOP Terms and Definitions: North American Office and Industrial Market," pg. 12.
 UFGS 11 13 19.13, "Loading Dock Levelers," August 2009
</t>
  </si>
  <si>
    <t>Underwater Equipment RDT&amp;E Facility</t>
  </si>
  <si>
    <t>Electrical conductor assembly</t>
  </si>
  <si>
    <t>Dock bumpers, 10 LF, 1EA</t>
  </si>
  <si>
    <t>Dock leveler, hydraulic, 1 EA</t>
  </si>
  <si>
    <t>Dock seal, 10" projection, 1 EA</t>
  </si>
  <si>
    <t>Dock shelter, 1 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</si>
  <si>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</si>
  <si>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</si>
  <si>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The average area for this FAC is 9,499 SF.
The Occupancy Group assigned is B, Business.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</si>
  <si>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</si>
  <si>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1.51 yielding 1 elevators for the maximum number of occupants applying the Elevator Business Rule. The Marshall and Swift RDT&amp;E building, type 392, Class B building includes an elevator in the basic square foot cost.
</t>
  </si>
  <si>
    <t xml:space="preserve">UFC 3-101-01, "Architecture," 28 November 2011, with Change 3, 20 June 2016.
Commercial Real Estate Development Association, NAIOP Research Foundation, “NAIOP Terms and Definitions: North American Office and Industrial Market," pg. 12.
UFGS 11 13 19.13, "Loading Dock Levelers," August 2009
</t>
  </si>
  <si>
    <t>RDT&amp;E Range Building</t>
  </si>
  <si>
    <t>USACE PAX Newsletters 3.2.2</t>
  </si>
  <si>
    <t>After Action Review (AAR) Bldg. - Small (USACE PAX Newsletter 3.2.2, 06 April 2017)</t>
  </si>
  <si>
    <t>RDT&amp;E Range Facility</t>
  </si>
  <si>
    <t>Underground Administrative Facility (USACE PAX Newsletter, 20 March 2009)</t>
  </si>
  <si>
    <t>Control Tower - open observation deck (USACE PAX Newsletter, 04 April 2017)</t>
  </si>
  <si>
    <t>FAC 1321</t>
  </si>
  <si>
    <t>RDT&amp;E Range Complex</t>
  </si>
  <si>
    <t>Combined ROC/AAR-Digital Range (USACE PAX Newsletter, 04 January 2011)</t>
  </si>
  <si>
    <t>Control Tower - open observation deck (USACE PAX Newsletter, 30 May 2018)</t>
  </si>
  <si>
    <t>8" Thick Reinforced Concrete Pavement, 4,500 PSI, 12-FT pass (USACE PAX Newsletter, 30 May 218)</t>
  </si>
  <si>
    <t>Propulsion Engine Test Cell</t>
  </si>
  <si>
    <t>MILCON</t>
  </si>
  <si>
    <t>Engine Test Cell</t>
  </si>
  <si>
    <t>Military Cost Premium not multiplied as cost derived from MILCON</t>
  </si>
  <si>
    <t>Small Bulk Storage</t>
  </si>
  <si>
    <t>61/6</t>
  </si>
  <si>
    <t>EA to GA</t>
  </si>
  <si>
    <t xml:space="preserve">Horizontal Bulk Storage, 1,500 GA </t>
  </si>
  <si>
    <t>Backfill and Compaction, confined area , medium earth</t>
  </si>
  <si>
    <t>CY to GA</t>
  </si>
  <si>
    <t>FT to GA</t>
  </si>
  <si>
    <t xml:space="preserve">Geotextile Fabric </t>
  </si>
  <si>
    <t>SY to GA</t>
  </si>
  <si>
    <t>Containment berm assume 60' x 6' x 8' = 2,880 CF = 106.7 CY; for Geotextile fabric area:  1,320 SF = 146.7 SY</t>
  </si>
  <si>
    <t>Bulk Liquid Storage, Other Than Fuel</t>
  </si>
  <si>
    <t>USACE PAX Newsletter 3.2.2, 04 Jan 2011</t>
  </si>
  <si>
    <t>Liquid Fuel Storage Tank - Bulk AGST</t>
  </si>
  <si>
    <t>GA/BL</t>
  </si>
  <si>
    <t>PAX Unit Cost in Barrels (42 GA per BL)</t>
  </si>
  <si>
    <t>Ammunition Storage, Depot and Arsenal</t>
  </si>
  <si>
    <t>Hi Explosive Magazine w/Crane</t>
  </si>
  <si>
    <t>Intercontinental Ballistic Missile Storage Facility</t>
  </si>
  <si>
    <t>Industrials, Heavy (Process) Manufacturing, Class A, Average, including elevator (Deduct $2.29/SF for no included elevator)</t>
  </si>
  <si>
    <t>Bridge Crane, 10 Ton, Span = 50 FT</t>
  </si>
  <si>
    <t>Craneway, 10 Ton, 60 LF x 2 = 120 LF</t>
  </si>
  <si>
    <t>Sprinkler, Dry System, 2,500 SF, Average</t>
  </si>
  <si>
    <t>Crane bay assumed dimension = 50' x 60'</t>
  </si>
  <si>
    <t>Ammunition Storage, Installation</t>
  </si>
  <si>
    <t>General Purpose Magazine w/o Crane</t>
  </si>
  <si>
    <t>Ammunition Storage Shed, Installation</t>
  </si>
  <si>
    <t>Storage Shed (Covered, not Enclosed)</t>
  </si>
  <si>
    <t>Liquid Propellant Storage, Ammunition Related</t>
  </si>
  <si>
    <t>GA Conversion</t>
  </si>
  <si>
    <t>Battery Storage, Weapon Related</t>
  </si>
  <si>
    <t>USACE PAX Newsletter 3.2.2, 20 March 2009</t>
  </si>
  <si>
    <t>Battery Shop</t>
  </si>
  <si>
    <t>Cold Storage Warehouse, w/o Processing</t>
  </si>
  <si>
    <t>Open Ammunition Storage</t>
  </si>
  <si>
    <t>Aggregate (rock) Base, 4", per SF</t>
  </si>
  <si>
    <t>SF / SY</t>
  </si>
  <si>
    <t>Paving, 4" Asphaltic Concrete, per SF</t>
  </si>
  <si>
    <t>Paving, 6" Concrete, per SF</t>
  </si>
  <si>
    <t>Average Asphalt and Concrete</t>
  </si>
  <si>
    <t xml:space="preserve">Unified Facilities Criteria (UFC)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</si>
  <si>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UFC criteria exist for component material.  The calculation using Marshall and Swift averages asphalt and concrete paved storage areas. </t>
  </si>
  <si>
    <t xml:space="preserve">UFC 3-600-01 states this type of facility must be located (“sited”) in accordance with DoD 6055.09-M, but that sprinklers and hydrant protection are not required for ammunition/explosive storage facilities.
</t>
  </si>
  <si>
    <t xml:space="preserve">No UFC requirement exists for the incorporation of a loading dock.
No elevator is provided in consonance with the Elevator Business Rules.
</t>
  </si>
  <si>
    <t>No UFC criteria exist for component material.  The reference to Marshall and Swift commercial and governmental utility buildings includes metal and masonry construction.</t>
  </si>
  <si>
    <t xml:space="preserve">• M&amp;S Selection Business Rule
• Overhead Crane Business Rule
• MILCON Cost Premium Business Rule
</t>
  </si>
  <si>
    <t xml:space="preserve">UFC 3-600-01, "Fire Protection Engineering for Facilities," 08 August 2016 with Change 2, 25 March 2018     </t>
  </si>
  <si>
    <t>Cold Storage, Depot</t>
  </si>
  <si>
    <t>14/24</t>
  </si>
  <si>
    <t>Cold Storage Facility, Class A/B, Average</t>
  </si>
  <si>
    <t>Complete HVAC, Sharp Freeze, Extreme Climate</t>
  </si>
  <si>
    <t>Cold Storage, Installation</t>
  </si>
  <si>
    <t>Complete HVAC, Chiller/Freezer, Moderate Climate</t>
  </si>
  <si>
    <t>Covered Storage Building, Depot</t>
  </si>
  <si>
    <t>Warehouse/Storage Facilities: Storage Building - Large (&gt; 15,000 SF), High Bay (Stack Height &gt; 16 FT)</t>
  </si>
  <si>
    <t>Covered Storage Shed, Depot</t>
  </si>
  <si>
    <t>Hazardous Materials Storage, Depot</t>
  </si>
  <si>
    <t>Warehouse/Storage Facilities:  Hazardous / Flammable Storage, &gt; 1,000 SF</t>
  </si>
  <si>
    <t>Controlled Humidity Storage, Depot</t>
  </si>
  <si>
    <t>Cold Storage Facility, Class A/B, Average, Complete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</si>
  <si>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</si>
  <si>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</si>
  <si>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</si>
  <si>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</si>
  <si>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</si>
  <si>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</si>
  <si>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The average area of this FAC is 126,985 SF, based on 377 records in the 2017 RPAD.
The International Building Code (IBC) Occupancy Group assigned is B, Business.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</si>
  <si>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</si>
  <si>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</si>
  <si>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</si>
  <si>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</si>
  <si>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</si>
  <si>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</si>
  <si>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</si>
  <si>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Hazardous Material Storage Building - Tactical Equipment Maintenance Facility (TEMF)</t>
  </si>
  <si>
    <t>Per UM</t>
  </si>
  <si>
    <t>No. of Docks or SF door</t>
  </si>
  <si>
    <t>Overhead door, roll-up, standard 9 FT x 9 FT' door, 6 EA @ 81 SF</t>
  </si>
  <si>
    <t>per SF-door</t>
  </si>
  <si>
    <t>Overhead door, electric operator</t>
  </si>
  <si>
    <t>Dock seal, 10-inch projection</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</si>
  <si>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</si>
  <si>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MVG Class B, Average Quality.  
</t>
  </si>
  <si>
    <t xml:space="preserve">The average area of this FAC is 56,152 SF, based on 463 records in the 2017 RPAD.
The International Building Code (IBC) Occupancy Group assigned is B, Business.
</t>
  </si>
  <si>
    <t xml:space="preserve">IBC Code Group B.
UFC 4-440-01 requires compliance with the NFPA 13  and UFC 3-600-01.  UFC 3-600-01 refers the designer to the IBC.  The Fire Sprinkler Business Rule incorporates the requirements of NFPA, UFC 3-600-01 and the IBC. Application of the Fire Sprinkler Business Rule requires a sprinkler system to be installed in this type of facility.
</t>
  </si>
  <si>
    <t>Vehicle Storage, Covered</t>
  </si>
  <si>
    <t>14/34</t>
  </si>
  <si>
    <t>Storage Garage, Class A-B, Average</t>
  </si>
  <si>
    <t>Class B Facility selected for M&amp;S current cost and local multipliers</t>
  </si>
  <si>
    <t>Storage Silo, Loose Material</t>
  </si>
  <si>
    <t>17/16</t>
  </si>
  <si>
    <t>Material Storage Building, Class S, Average</t>
  </si>
  <si>
    <t>Small Arms Storage, Installation</t>
  </si>
  <si>
    <t>Table 2, UFC 3-701-1 as of April 2017</t>
  </si>
  <si>
    <t>Armory / Weapons Storage Facility</t>
  </si>
  <si>
    <t>Storage and Customer Issue</t>
  </si>
  <si>
    <t>13/28</t>
  </si>
  <si>
    <t>Discount Store, Class A-B, Average</t>
  </si>
  <si>
    <t>13/40</t>
  </si>
  <si>
    <t>Sprinkler, Wet System, 15,000 SF, Average</t>
  </si>
  <si>
    <t>Open Storage, Depot</t>
  </si>
  <si>
    <t>Average Asphalt and Concrete Unit Costs</t>
  </si>
  <si>
    <t>Open Storage, Installation</t>
  </si>
  <si>
    <t>Hospital</t>
  </si>
  <si>
    <t>Inpatient Hospital/Medical Center</t>
  </si>
  <si>
    <t>Medical Laboratory</t>
  </si>
  <si>
    <t>Laboratory Building, Class B, Average, including elevators</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</si>
  <si>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</si>
  <si>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</si>
  <si>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</si>
  <si>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The average area for this FAC is 10,937 SF.  
IBC Business Group B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</si>
  <si>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</si>
  <si>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</si>
  <si>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t>
  </si>
  <si>
    <t>Morgue</t>
  </si>
  <si>
    <t>11/32</t>
  </si>
  <si>
    <t>Mortuary/Funeral Home, Class B, Average</t>
  </si>
  <si>
    <t>11/35</t>
  </si>
  <si>
    <t>Sprinkler, Wet System, 5,000 SF, Average</t>
  </si>
  <si>
    <t>Veterinary Facility</t>
  </si>
  <si>
    <t>15/28</t>
  </si>
  <si>
    <t>Medical Warehouse</t>
  </si>
  <si>
    <t>Cold Storage Facility, Class B, Average</t>
  </si>
  <si>
    <t>HVAC, for Controlled Atmosphere Buildings, Moderate Climate</t>
  </si>
  <si>
    <t>Sprinkler, Dry System, 20,000 SF, Average</t>
  </si>
  <si>
    <t>Ambulance Shelter</t>
  </si>
  <si>
    <t>Storage Garage, Class B, Average</t>
  </si>
  <si>
    <t>Dental Facility</t>
  </si>
  <si>
    <t>Dental Clinic</t>
  </si>
  <si>
    <t>Dispensary And Clinic</t>
  </si>
  <si>
    <t xml:space="preserve">Table 2, UFC 3-701-1, 12 April 2017  
</t>
  </si>
  <si>
    <t>Medical Clinic (Small, Free Standing &lt;60,000 SF)</t>
  </si>
  <si>
    <t>Ambulatory Care Clinic</t>
  </si>
  <si>
    <t>Medical Clinic (Large, Free Standing &gt;60,000 SF)</t>
  </si>
  <si>
    <t>General Administrative Building</t>
  </si>
  <si>
    <t>Administrative Facilities: Multi-Purpose Admin</t>
  </si>
  <si>
    <t>Small Unit Headquarters Building</t>
  </si>
  <si>
    <t>Headquarters/Operations Buildings: Company Level (Lowest Level)</t>
  </si>
  <si>
    <t>Large Unit Headquarters Building</t>
  </si>
  <si>
    <t>Headquarters/Operations Buildings: Brigade/Division/Wing HQs (Upper Level)</t>
  </si>
  <si>
    <t>Printing And Reproduction Plant</t>
  </si>
  <si>
    <t>Industrial, Light Manufacturing, Class B, Average</t>
  </si>
  <si>
    <t>Automated Data Processing Center</t>
  </si>
  <si>
    <t>Table 2, UFC 3-701-1, Change 10, May 2016</t>
  </si>
  <si>
    <t>Admin Facilities, Data Processing Area Facility (Includes Admin and Storage)</t>
  </si>
  <si>
    <r>
      <rPr>
        <sz val="11"/>
        <color theme="1"/>
        <rFont val="Calibri"/>
        <family val="2"/>
        <scheme val="minor"/>
      </rPr>
      <t>Facilities Pricing Guide,</t>
    </r>
    <r>
      <rPr>
        <sz val="11"/>
        <color theme="0"/>
        <rFont val="Calibri"/>
        <family val="2"/>
        <scheme val="minor"/>
      </rPr>
      <t xml:space="preserve"> </t>
    </r>
    <r>
      <rPr>
        <sz val="11"/>
        <rFont val="Calibri"/>
        <family val="2"/>
        <scheme val="minor"/>
      </rPr>
      <t>Change 10, GUCs are as of October 2015</t>
    </r>
  </si>
  <si>
    <t>Remote Delivery Facility</t>
  </si>
  <si>
    <t>Ammunition Surveillance Shop</t>
  </si>
  <si>
    <t>Administrative Structure, Underground</t>
  </si>
  <si>
    <t>Underground Administrative Facility</t>
  </si>
  <si>
    <t>Alternate Joint Communications Center</t>
  </si>
  <si>
    <t>Administrative Structure, Other Than Buildings</t>
  </si>
  <si>
    <t>Flagpole, 50', Tapered Aluminum, Concrete Foundation</t>
  </si>
  <si>
    <t>66/5</t>
  </si>
  <si>
    <t>Scoreboard, Outdoor, 75 SF</t>
  </si>
  <si>
    <t>Family Housing Dwelling</t>
  </si>
  <si>
    <t>General Officer, Grade O7 - O8</t>
  </si>
  <si>
    <t>Colonel/Captain, Grade O6</t>
  </si>
  <si>
    <t xml:space="preserve">Lt Colonel &amp; Major, Grade O4 &amp; O5 / Warrant Officer, Grade W4 &amp; W5, 4 Bedrooms </t>
  </si>
  <si>
    <t>CO Grade, Officer, O1-O3; Warrant Officer, Grade W1 - W3, 4 Bedrooms</t>
  </si>
  <si>
    <t>Senior NCO, Grade E9, 4 Bedrooms</t>
  </si>
  <si>
    <t>Junior NCO/Enlisted, Grade E1 - E6, 4 Bedrooms</t>
  </si>
  <si>
    <t>Family Housing Trailer/Relocatable</t>
  </si>
  <si>
    <t>63/8</t>
  </si>
  <si>
    <t>Manufactured home, Average, 14 x 28</t>
  </si>
  <si>
    <t>Family Housing Individual Trailer Site</t>
  </si>
  <si>
    <t>63/3</t>
  </si>
  <si>
    <t>Manufactured Housing Park, Average, including utilities, grading, engineering</t>
  </si>
  <si>
    <t>EA to SY</t>
  </si>
  <si>
    <t>M&amp;S Design size for a Manufactured Housing Park site = 3,200 SF = 356 SY</t>
  </si>
  <si>
    <t>Family Housing Garage</t>
  </si>
  <si>
    <t>12/35</t>
  </si>
  <si>
    <t>Residential Garage, Detached, 600 SF, Class C, Average</t>
  </si>
  <si>
    <t>Family Housing Storage Facility</t>
  </si>
  <si>
    <t>63/10</t>
  </si>
  <si>
    <t>Storage Shed Building, Aluminum</t>
  </si>
  <si>
    <t>Concrete Slab, unreinforced</t>
  </si>
  <si>
    <t xml:space="preserve"> </t>
  </si>
  <si>
    <t>Miscellaneous Family Housing Support Facility</t>
  </si>
  <si>
    <t>17/12</t>
  </si>
  <si>
    <t>Light Commercial Utility Building, Class C, Average</t>
  </si>
  <si>
    <t>Sprinkler, 2500 SF, Wet System, Average</t>
  </si>
  <si>
    <t>Trailer Court Support Facility</t>
  </si>
  <si>
    <t>15/17</t>
  </si>
  <si>
    <t>Office Building, Class C,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</si>
  <si>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</si>
  <si>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</si>
  <si>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</si>
  <si>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</si>
  <si>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</si>
  <si>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</si>
  <si>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</si>
  <si>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</si>
  <si>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</si>
  <si>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Unaccompanied Housing for Wounded Warriors</t>
  </si>
  <si>
    <t>15/26</t>
  </si>
  <si>
    <t>Convalescent Hospital, Class C, Average, without Elevators</t>
  </si>
  <si>
    <t>Elevator, passenger, 2-3 story</t>
  </si>
  <si>
    <t>Overhead door electrical operator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</si>
  <si>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</si>
  <si>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</si>
  <si>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</si>
  <si>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</si>
  <si>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Three (3)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</si>
  <si>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</si>
  <si>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</si>
  <si>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 xml:space="preserve">Table 2, UFC 3-701-1, Change 13, July 2017 </t>
  </si>
  <si>
    <t>Unaccompanied Personnel Housing: Barracks - Open Bay, Training</t>
  </si>
  <si>
    <t>Dining Facility</t>
  </si>
  <si>
    <t>Dining Facility, Enlisted Dining, 15,000 SF - 39,999 SF (includes kitchen equipment and installation)</t>
  </si>
  <si>
    <t>Miscellaneous UPH Support Building</t>
  </si>
  <si>
    <t>13/25</t>
  </si>
  <si>
    <t>Laundromat, Class C, Average</t>
  </si>
  <si>
    <t>11/14</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</si>
  <si>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</si>
  <si>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</si>
  <si>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</si>
  <si>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</si>
  <si>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The average area for this FAC is 2,949 SF. 
International Building Code Occupancy Group B (Business)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</si>
  <si>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</si>
  <si>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</si>
  <si>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</si>
  <si>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</si>
  <si>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</si>
  <si>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</si>
  <si>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Dining Support Facility</t>
  </si>
  <si>
    <t>13/15</t>
  </si>
  <si>
    <t>Restaurants/Cafeterias, Class C, Average</t>
  </si>
  <si>
    <t>Latrine/Shower Facility</t>
  </si>
  <si>
    <t>Shower Room Building, Class C, Average</t>
  </si>
  <si>
    <t>Sprinkler, 3,000 SF, Wet System, Average</t>
  </si>
  <si>
    <t>Miscellaneous UPH Support Facility</t>
  </si>
  <si>
    <t>64/4</t>
  </si>
  <si>
    <t>Car Wash Canopy, Class CDS, Average</t>
  </si>
  <si>
    <t>Officer Unaccompanied Personnel Housing</t>
  </si>
  <si>
    <t>UPH, Officers Quarters</t>
  </si>
  <si>
    <t>Officer UPH, Transient</t>
  </si>
  <si>
    <t>Service Academy Unaccompanied Personnel Housing</t>
  </si>
  <si>
    <t>Dormitory, Class C, Good - includes elevators</t>
  </si>
  <si>
    <t>Sprinkler, Wet System, 75,000 SF, Good</t>
  </si>
  <si>
    <t>Emergency Unaccompanied Personnel Housing</t>
  </si>
  <si>
    <t>12/16</t>
  </si>
  <si>
    <t>Multiple Residence, Class C, Average</t>
  </si>
  <si>
    <t>12/39</t>
  </si>
  <si>
    <t>Sprinkler, 1,500 SF, Wet System, Average</t>
  </si>
  <si>
    <t>EUPH Tent Pad</t>
  </si>
  <si>
    <t>Rough Grading, Dumped Material Spread by Dozer, No Compaction</t>
  </si>
  <si>
    <t>SF/SY</t>
  </si>
  <si>
    <t>Fine Grading, Granular Subbase for Paving, Compaction, 3 Passes with Doze, 6" Lifts</t>
  </si>
  <si>
    <t>1-1/2" Crushed Stone Base to 6" Deep</t>
  </si>
  <si>
    <t>8" Thick, Unreinforced Concrete Pavement, 4,500 PSI</t>
  </si>
  <si>
    <t>Fire Station Facility</t>
  </si>
  <si>
    <t>Airfield Fire/Crash Rescue Station</t>
  </si>
  <si>
    <t>Prison/Confinement Facility</t>
  </si>
  <si>
    <t>Correctional Facility, Class C, Average; does not include elevator</t>
  </si>
  <si>
    <t>per SF</t>
  </si>
  <si>
    <t>Overhead door, Electric operation</t>
  </si>
  <si>
    <t>Dock bumper, Horizontal, per LF, 10 LF/door</t>
  </si>
  <si>
    <t>per LF</t>
  </si>
  <si>
    <t>Dock leveler, Hydraulic</t>
  </si>
  <si>
    <t xml:space="preserve">• Naval Corrections Manual requires compliance with American Corrections Association (ACA) "Planning and Design Guide for Secure and Adult and Juvenile Facilities."
• Army Regulation (AR) 190-47, “The Army Corrections System,” states design should strive to meet ACA standards.  
• Facilities Criteria (FC) 4-721-02F, “Air Force Level 1 Confinement Facility,” requires the superstructure to be concrete masonry units, fully grouted, with concrete roof. 
</t>
  </si>
  <si>
    <t xml:space="preserve">• ACA Planning and Design Guide states walls are typically either concrete or masonry.  Standard steel reinforcing used with pre-cast or cast in place concrete is sufficient .
• FC 4-721-02F requires the superstructure to be concrete masonry units, fully grouted, with concrete roof. 
</t>
  </si>
  <si>
    <t xml:space="preserve">The average area for this FAC is 15,014 SF.  
This type of facility is classified by International Building Code (IBC) as Group I-3, Institutional Prisons, Jails, Detention Centers, etc.
</t>
  </si>
  <si>
    <t xml:space="preserve">Unified Facilities Criteria (UFC) 3-600-01, Fire Protection Engineering for Facilities, requires compliance with National Fire Protection Association (NFPA) 101 for institutional (Group I-3) occupancies.  NFPA 101 requires new I-3 facilities, in which this FAC is categorized, to be have sprinklers throughout.   This same requirement exists in the IBC, Section 907.2.6  governing Occupancy Group I-3 (Institutional).   
</t>
  </si>
  <si>
    <t xml:space="preserve">The ACA Design Guide provides broad guidance for exterior and interior materials .   </t>
  </si>
  <si>
    <t xml:space="preserve">BUPERSINST 1640.22, "Naval Corrections Manual," Article 1640-020,“Physical Plant and Major Equipment,” 29 March 2011.
ACA, "Planning and Design Guide for Secure Adult and Juvenile Facilities, August 1, 1999.
AR 190-47, “The Army Corrections System”, Section 9-4, pg 28, of 15 June 2006.
FC 4-721-02F Air Force Level I Confinement Facility of 1 April 2015. 
UFC 3-600-01, "Fire Protection Engineering for Facilities," August 2016 with Change 2, 25 March 2018.
IBC, 2018 Edition. 
</t>
  </si>
  <si>
    <t>Police Station</t>
  </si>
  <si>
    <t>Police Station, Class C, Average, without elevator</t>
  </si>
  <si>
    <t xml:space="preserve">No UFC criteria exist for component material.  
Applying the M&amp;S Selection Business Rule, the FAC is MVG Class C, Average Quality.
</t>
  </si>
  <si>
    <t xml:space="preserve">International Building Code (IBC) Occupancy Group I, Institutional.
A fire sprinkler has been incorporated, applying the Fire Sprinkler Business Rule.
</t>
  </si>
  <si>
    <t xml:space="preserve">No overhead crane is provided, applying the Overhead Crane Business Rule
</t>
  </si>
  <si>
    <t>IBC, 2018 Edition</t>
  </si>
  <si>
    <t>Drug and Alcohol Abuse Center</t>
  </si>
  <si>
    <t>15/22</t>
  </si>
  <si>
    <t>Medical Office Building, Class C, Average</t>
  </si>
  <si>
    <t>Bread/Pastry Kitchen</t>
  </si>
  <si>
    <t>14/40</t>
  </si>
  <si>
    <t xml:space="preserve">Bakery Plant; Class C, D, &amp; S; including heating and/or cooling </t>
  </si>
  <si>
    <t>Sprinkler, 125,000 SF, Wet System, Average</t>
  </si>
  <si>
    <t>Ice/Dairy Products Plant</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</si>
  <si>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</si>
  <si>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</si>
  <si>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</si>
  <si>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</si>
  <si>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</si>
  <si>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</si>
  <si>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</si>
  <si>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</si>
  <si>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</si>
  <si>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</si>
  <si>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</si>
  <si>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</si>
  <si>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</si>
  <si>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</si>
  <si>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Range hood, Complete, per LF, 10 LF per hood,  4 EA</t>
  </si>
  <si>
    <t>Restaurant Hood and Duct, Dry chemical system fire extinguisher, per nozzle, Average, 2 nozzles per 4 EA range hoods</t>
  </si>
  <si>
    <t>Assumed 4 vendors, each with 10' range hood, each hood with 2 dry chemical nozzles</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</si>
  <si>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</si>
  <si>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</si>
  <si>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The average area for this FAC is 2,960 SF. 
</t>
  </si>
  <si>
    <t xml:space="preserve">Use classification A (A-2, Assembly  uses for food and/or drink consumption).
The international Building Code (IBC) requires an automatic sprinkler when the occupant load exceeds 100, or the fire area exceeds 5,000 SF or if the fire area is not located on the level of exit discharge .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</si>
  <si>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No Unified Facilities Criteria (UFC) requirement exists for the incorporation of a loading dock
No elevator is provided in consonance with the Elevator Business Rules.
</t>
  </si>
  <si>
    <t xml:space="preserve">No UFC criteria exist for component material.  Any suitable material is permitted by the IBC.
</t>
  </si>
  <si>
    <t xml:space="preserve">IBC, International Code Council, 2018;  Chapter 3, "Occupancy Classification."
IBC, Chapter 6, “Types of Construction.”
IBC, paragraph 903.2.1.2, "Group A-2 Automatic Sprinkler System."
</t>
  </si>
  <si>
    <t>Open Mess and Club Facility</t>
  </si>
  <si>
    <t>13/14</t>
  </si>
  <si>
    <t>Restaurant (350), Class C, Average</t>
  </si>
  <si>
    <t>Range hood, Complete, per LF, 10 LF, 2 EA</t>
  </si>
  <si>
    <t>Restaurant Hood and Duct, Dry Chemical Fire Protection System , 4 nozzles, per nozzle, Average</t>
  </si>
  <si>
    <t>13/39</t>
  </si>
  <si>
    <t>Elevator, Passenger, 2-3 story, Average</t>
  </si>
  <si>
    <t>Elevator, Freight, 2-3 story, Average</t>
  </si>
  <si>
    <t>Overhead door, Rollup, 81 SF/door</t>
  </si>
  <si>
    <t>Dock bumper, Horizontal, per LF, 10 LF</t>
  </si>
  <si>
    <t xml:space="preserve">OSD based design criteria does not apply to Open Mess and Club Facilities as they are Category “C” Morale Welfare and Recreation Facilities (MWR), and therefore funded through sales without Appropriated Funds.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</si>
  <si>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IBC provides guidance. 
</t>
  </si>
  <si>
    <r>
      <t xml:space="preserve">The average area for this FAC is 13,065 SF. 
IBC occupancy group classification is A (A-2, Assembly uses for food and/or drink consumption). </t>
    </r>
    <r>
      <rPr>
        <b/>
        <sz val="11"/>
        <color rgb="FFFF0000"/>
        <rFont val="Calibri"/>
        <family val="2"/>
        <scheme val="minor"/>
      </rPr>
      <t xml:space="preserve"> </t>
    </r>
    <r>
      <rPr>
        <sz val="11"/>
        <rFont val="Calibri"/>
        <family val="2"/>
        <scheme val="minor"/>
      </rPr>
      <t xml:space="preserve">
</t>
    </r>
  </si>
  <si>
    <t xml:space="preserve">The IBC requires an automatic sprinkler when the occupant load exceeds 100, or the fire area exceeds 5,000 SF, or if the fire area is not located on the level of exit discharge.  Because the average size of this FAC exceeds 5,000 SF, a sprinkler system is included in the cost. </t>
  </si>
  <si>
    <t xml:space="preserve">No Unified Facilities Criteria (UFC) requirement exists for the incorporation of overhead cranes.
</t>
  </si>
  <si>
    <t>Thrift Shop</t>
  </si>
  <si>
    <t>13/26</t>
  </si>
  <si>
    <t>Retail Store, Class C, Average</t>
  </si>
  <si>
    <t>Bus Station</t>
  </si>
  <si>
    <t>14/20</t>
  </si>
  <si>
    <t>Passenger Terminal, Class C, Average</t>
  </si>
  <si>
    <t>Laundry/Dry Cleaning Facility</t>
  </si>
  <si>
    <t>Loading Dock, Assume 15x30', steel piers</t>
  </si>
  <si>
    <t>Sprinkler, 5,000 SF, Wet system, Average</t>
  </si>
  <si>
    <t>Postal Facility</t>
  </si>
  <si>
    <t>14/21</t>
  </si>
  <si>
    <t>Main Post Office, Class C, Average</t>
  </si>
  <si>
    <t>Exchange Automobile Facility</t>
  </si>
  <si>
    <t>64/1</t>
  </si>
  <si>
    <t>Service Station with Service Bays, Class S-C, Average</t>
  </si>
  <si>
    <t>Exchange Sales Facility</t>
  </si>
  <si>
    <t>Retail store, Class C, Average</t>
  </si>
  <si>
    <t>Overhead door, rollup, 81 SF/door, 2 EA</t>
  </si>
  <si>
    <t>Overhead door, electric operator, 2 EA</t>
  </si>
  <si>
    <t>Dock bumper, Horizontal, 10 LF/door, 20 LF total</t>
  </si>
  <si>
    <t xml:space="preserve">The average area for this FAC is 17,452 SF. 
</t>
  </si>
  <si>
    <t xml:space="preserve">Use classification M (Mercantile).
The IBC requires an automatic sprinkler when the fire area exceeds 12,000 SF.  Therefore a sprinkler was provided for this facility. 
</t>
  </si>
  <si>
    <t xml:space="preserve">No UFC criteria exist for component material.  Any suitable material is permitted by the International Building Code.
</t>
  </si>
  <si>
    <t xml:space="preserve">IBC, Chapter 6, “Types of Construction,” International Code Council, 2018 edition.
NFPA Codes
</t>
  </si>
  <si>
    <t>Bank and Credit Union</t>
  </si>
  <si>
    <t>15/21</t>
  </si>
  <si>
    <t>Car Wash Facility</t>
  </si>
  <si>
    <t>RPAD Ave Size</t>
  </si>
  <si>
    <t>64/5</t>
  </si>
  <si>
    <t>Self-Serve Car Wash, C, Average</t>
  </si>
  <si>
    <t>Commissary</t>
  </si>
  <si>
    <t>13/20</t>
  </si>
  <si>
    <t>Supermarket, Class C, Average</t>
  </si>
  <si>
    <t>Elevator, Passenger, 2-3 stories, Average, 1 EA</t>
  </si>
  <si>
    <t>Overhead door, roll-up, 81 SF/door, 8 EA</t>
  </si>
  <si>
    <t>Overhead door electrical operator, 8 EA</t>
  </si>
  <si>
    <t>Dock bumper, Horizontal, per LF, 10 LF/door, 8 EA</t>
  </si>
  <si>
    <t>Sprinkler, Wet System, Average, 50,000 SF</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</si>
  <si>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IBC), National Fire Protection Association (NFPA) Codes (including the National Electrical Code [NEC]), International Mechanical Code (IMC), and the International Plumbing Code (IPC). 
</t>
  </si>
  <si>
    <r>
      <rPr>
        <sz val="11"/>
        <color theme="1"/>
        <rFont val="Calibri"/>
        <family val="2"/>
        <scheme val="minor"/>
      </rPr>
      <t xml:space="preserve">The average area for this FAC is 60,978 SF.   </t>
    </r>
    <r>
      <rPr>
        <sz val="11"/>
        <color rgb="FFFF0000"/>
        <rFont val="Calibri"/>
        <family val="2"/>
        <scheme val="minor"/>
      </rPr>
      <t xml:space="preserve">
</t>
    </r>
  </si>
  <si>
    <t xml:space="preserve">IBC use group M (Mercantile).
The IBC requires an automatic sprinkler when the fire area exceeds 12,000 SF, which is the case for the commissary.  A sprinkler is included in the replacement unit cost.
</t>
  </si>
  <si>
    <t>Education Center</t>
  </si>
  <si>
    <t>Current Cost Adjustment</t>
  </si>
  <si>
    <t>18/14</t>
  </si>
  <si>
    <t>Classroom, Class C, Average</t>
  </si>
  <si>
    <t>Sprinkler, Wet System, Average, 10,000 SF</t>
  </si>
  <si>
    <t>% &gt; 12,000 SF</t>
  </si>
  <si>
    <t>18/35</t>
  </si>
  <si>
    <t>Elevator, Passenger, Average, 2-3 story, 2 EA</t>
  </si>
  <si>
    <t>$/SF</t>
  </si>
  <si>
    <t xml:space="preserve">Unified Facilities Criteria (UFC) for Multi-Disciplinary and Facility Specific Design (4 Series) is not provided for this type of facility.  
</t>
  </si>
  <si>
    <t xml:space="preserve">UFC criteria do not exist for component material.  
</t>
  </si>
  <si>
    <t xml:space="preserve">The average area for this FAC is 13452 SF.  
</t>
  </si>
  <si>
    <t>Two (2) elevators have been included in consonance with the Elevator Business Rule.  Average number of floors above ground is 1.66.</t>
  </si>
  <si>
    <t xml:space="preserve">UFC 3-600-01, "Fire Protection Engineering for Facilities," 08 August 2016 with Change 2, 25 March 2018
NFPA Publication 101, Life Safety Code, 2015 edition 
IBC Section 903.2.3, 2018 Edition 
</t>
  </si>
  <si>
    <t>Weighted Unit Cost</t>
  </si>
  <si>
    <t>Dependent School Support Facility</t>
  </si>
  <si>
    <t>66/9</t>
  </si>
  <si>
    <t>67/3</t>
  </si>
  <si>
    <t>Chapel Facility</t>
  </si>
  <si>
    <t>Chapel, including Pew Seating</t>
  </si>
  <si>
    <t>Religious Education Facility</t>
  </si>
  <si>
    <t>Sprinkler, Wet System, Average, 5000 SF</t>
  </si>
  <si>
    <t xml:space="preserve">Unified Facilities Criteria (UFC) for Multi-Disciplinary and Facility Specific Design (4 Series) are not provided for this type of facility.  
</t>
  </si>
  <si>
    <t xml:space="preserve">No UFCs exist for component material.  
</t>
  </si>
  <si>
    <t xml:space="preserve">The average area for this FAC is 5,972 SF.  
</t>
  </si>
  <si>
    <t>No elevator has been included in consonance with the Elevator Business Rule.</t>
  </si>
  <si>
    <t xml:space="preserve">No UFCs exist for component material.   </t>
  </si>
  <si>
    <t>Nursery and Child Care Facility</t>
  </si>
  <si>
    <t>Family Service Center</t>
  </si>
  <si>
    <t>15/31</t>
  </si>
  <si>
    <t>Community Service Building, Class C, Average</t>
  </si>
  <si>
    <t>Sprinkler, Wet System, Average, 5,000 SF</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</si>
  <si>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</si>
  <si>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</si>
  <si>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</si>
  <si>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</si>
  <si>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</si>
  <si>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</si>
  <si>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</si>
  <si>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</si>
  <si>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</si>
  <si>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</si>
  <si>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</si>
  <si>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</si>
  <si>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</si>
  <si>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</si>
  <si>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</si>
  <si>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</si>
  <si>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Fieldhouse, Class C, Good</t>
  </si>
  <si>
    <t>Sprinkler, Wet System, Good, 15,000 SF</t>
  </si>
  <si>
    <t>Exchange Support Facility</t>
  </si>
  <si>
    <t>Distribution Warehouse, Class C, Average</t>
  </si>
  <si>
    <t>14/32</t>
  </si>
  <si>
    <t>Service (Repair) Garage, Class C, Average</t>
  </si>
  <si>
    <t xml:space="preserve">Average of four building types </t>
  </si>
  <si>
    <t>Exchange Warehouse</t>
  </si>
  <si>
    <t>General Purpose Warehouse, Installation, Low-Bay, Up to 16 FT Stack Height,  &gt;15,000 SF</t>
  </si>
  <si>
    <t>Private Vehicle Inspection Facility</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</si>
  <si>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</si>
  <si>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</si>
  <si>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</si>
  <si>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</si>
  <si>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</si>
  <si>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</si>
  <si>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</si>
  <si>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</si>
  <si>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</si>
  <si>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Bowling Center, C, Good</t>
  </si>
  <si>
    <t>16/25</t>
  </si>
  <si>
    <t xml:space="preserve">Sprinkler, Wet System, Average, 20,000 SF </t>
  </si>
  <si>
    <t>Library, General Use</t>
  </si>
  <si>
    <t>15/32</t>
  </si>
  <si>
    <t>Library, Class C, Average</t>
  </si>
  <si>
    <t>Recreation Center</t>
  </si>
  <si>
    <t>16/18</t>
  </si>
  <si>
    <t>Community Recreation Center, Class C, Average</t>
  </si>
  <si>
    <t>% &gt; 12K SF</t>
  </si>
  <si>
    <t xml:space="preserve">The average area for this FAC is 8.230 SF.  
</t>
  </si>
  <si>
    <t xml:space="preserve"> UFC 3-600-01, "Fire Protection Engineering for Facilities," 08 August 2016 with Change 2, 25 March 2018
 NFPA Publication 101, Life Safety Code, 2015 edition 
 IBC, Section 903.2.1.3, 2018 edition
</t>
  </si>
  <si>
    <t>Indoor Skating Rink</t>
  </si>
  <si>
    <t>16/20</t>
  </si>
  <si>
    <t>Ice Skating Rink, Class C, Average</t>
  </si>
  <si>
    <t>Indoor Physical Fitness Facility</t>
  </si>
  <si>
    <t>Indoor Swimming Pool</t>
  </si>
  <si>
    <t>Natatorium, Class C, Average</t>
  </si>
  <si>
    <t>Auditorium and Theater Facility</t>
  </si>
  <si>
    <t>16/13</t>
  </si>
  <si>
    <t>Theater, Cinema, Class C, Average</t>
  </si>
  <si>
    <t>Community Activities / Conference Center</t>
  </si>
  <si>
    <t>Community Recreation Center, Class C, Good</t>
  </si>
  <si>
    <t>Transient  Lodging</t>
  </si>
  <si>
    <t>Transient Training Officers Quarters</t>
  </si>
  <si>
    <t>Senior Enlisted Officers Quarters, Transient</t>
  </si>
  <si>
    <t>Recreational Lodging</t>
  </si>
  <si>
    <t>12/9</t>
  </si>
  <si>
    <t>Motel, Class C, Average</t>
  </si>
  <si>
    <t>Transient And Recreational Lodging Support Facility</t>
  </si>
  <si>
    <t>Stable</t>
  </si>
  <si>
    <t>17/36</t>
  </si>
  <si>
    <t xml:space="preserve">Stable, Class C, Average </t>
  </si>
  <si>
    <t>Boathouse</t>
  </si>
  <si>
    <t>MWR Sales and Rental Building</t>
  </si>
  <si>
    <t>MWR Storage Building</t>
  </si>
  <si>
    <t xml:space="preserve">Storage Building, Unheated </t>
  </si>
  <si>
    <t>General Purpose (GP) Warehouse, Installation, Low-Bay, Up to 16 FT Stack Height, &lt; 15,000 SF</t>
  </si>
  <si>
    <t>Recreational Support Building</t>
  </si>
  <si>
    <t>Mechanical Building, Class "S"</t>
  </si>
  <si>
    <t>Extra Hazard</t>
  </si>
  <si>
    <t>Retail Kennel</t>
  </si>
  <si>
    <t>15/27</t>
  </si>
  <si>
    <t>Kennel, Class C,  Good</t>
  </si>
  <si>
    <t>Sprinkler, Wet, 3,000 SF, Average</t>
  </si>
  <si>
    <t>66/4</t>
  </si>
  <si>
    <t>Outdoor Kennel Run, Mesh Cover (Roof Area), 800 SF @ $5.76/SF</t>
  </si>
  <si>
    <t>Gate, Kennel Run, 4 Each</t>
  </si>
  <si>
    <t>Playground</t>
  </si>
  <si>
    <t>USACE PAX Newsletter 3.2.2, 6 May 2016</t>
  </si>
  <si>
    <t>Unit Cost (SF)</t>
  </si>
  <si>
    <t>Playground for Preschool Children, Small</t>
  </si>
  <si>
    <t>Playground for Preschool Children, Medium</t>
  </si>
  <si>
    <t>Playground for School Age Children, Small</t>
  </si>
  <si>
    <t>Playground for Youth Center</t>
  </si>
  <si>
    <t>Outdoor Swimming Pool</t>
  </si>
  <si>
    <t>66/7</t>
  </si>
  <si>
    <t xml:space="preserve">Poured Concrete Pool, 13,455 SF </t>
  </si>
  <si>
    <t>Deduct 20% for gunnite</t>
  </si>
  <si>
    <t>Add for mesh reinforcing for deck</t>
  </si>
  <si>
    <t>Fence, 6', #9 wire, per LF, w/rails</t>
  </si>
  <si>
    <t>LF/EA</t>
  </si>
  <si>
    <t>Gates, 5 FT wide, 6 Ft high, 4 EA</t>
  </si>
  <si>
    <t>Golf Course</t>
  </si>
  <si>
    <t>Average of</t>
  </si>
  <si>
    <t>67/1</t>
  </si>
  <si>
    <t>Class III, Typical Private Club, 18 holes, per hole</t>
  </si>
  <si>
    <t>Hole</t>
  </si>
  <si>
    <t>Holes/EA</t>
  </si>
  <si>
    <t>Class III, Typical Private Club, 9 holes, per hole</t>
  </si>
  <si>
    <t>Golf Driving Range</t>
  </si>
  <si>
    <t>67/2</t>
  </si>
  <si>
    <t>Lighted driving range, assume 20 stations</t>
  </si>
  <si>
    <t>Station</t>
  </si>
  <si>
    <t>Stations/EA</t>
  </si>
  <si>
    <t>Golf Pitch and Putt Course</t>
  </si>
  <si>
    <t>Pitch and putt course, Average, assume 9 holes</t>
  </si>
  <si>
    <t>Recreational Pier</t>
  </si>
  <si>
    <t>Assumed size 8 FT wide, 30 FT' long</t>
  </si>
  <si>
    <t>Ship and boat dock, Light construction, 2" floating deck, light posts</t>
  </si>
  <si>
    <t>Marina</t>
  </si>
  <si>
    <t>Small Boat Marina, Average cost</t>
  </si>
  <si>
    <t>Slips/EA</t>
  </si>
  <si>
    <t>Outdoor Playing Court</t>
  </si>
  <si>
    <t>Average of 1 Tennis Court and 2  Basketball courts</t>
  </si>
  <si>
    <t>67/7</t>
  </si>
  <si>
    <t>Lighting (Assume 50% lighting)</t>
  </si>
  <si>
    <t>Fencing</t>
  </si>
  <si>
    <t>Subtotal</t>
  </si>
  <si>
    <t>Basketball Backstop, with pole</t>
  </si>
  <si>
    <t>per court</t>
  </si>
  <si>
    <t>Assume 2 basketball courts / 5% deduction for multiple courts</t>
  </si>
  <si>
    <t>Athletic Field</t>
  </si>
  <si>
    <t xml:space="preserve">Design Size </t>
  </si>
  <si>
    <t>Multipurpose Athletics Field (360' x 160')</t>
  </si>
  <si>
    <t>Stadium</t>
  </si>
  <si>
    <t>Assume 10,000 seats, priced per seat</t>
  </si>
  <si>
    <t>67/4</t>
  </si>
  <si>
    <t>Grandstand bleachers, open steel frame, school/fairground</t>
  </si>
  <si>
    <t>Seat</t>
  </si>
  <si>
    <t>Seats/EA</t>
  </si>
  <si>
    <t>Concrete/steel bleachers, no interior construction, stadium type, closed deck</t>
  </si>
  <si>
    <t>Bleachers with built-in training rooms, restrooms, snack bar, college or small municipal stadium type</t>
  </si>
  <si>
    <t>Pavilion</t>
  </si>
  <si>
    <t>16/23</t>
  </si>
  <si>
    <t>Pavilion, Class C, Average</t>
  </si>
  <si>
    <t>Outdoor Theater</t>
  </si>
  <si>
    <t>67/5</t>
  </si>
  <si>
    <t>Drive-In theater, average (priced per car)</t>
  </si>
  <si>
    <t>Car</t>
  </si>
  <si>
    <t>Cars / EA</t>
  </si>
  <si>
    <t>Assume 75 Cars</t>
  </si>
  <si>
    <t>Recreational Camp and Trailer Park</t>
  </si>
  <si>
    <t>63/2</t>
  </si>
  <si>
    <t>Trailer and Recreational Vehicle Parks, Low Cost, per space; Assume 40 Spaces; includes paving, utilities, and associated site facilities</t>
  </si>
  <si>
    <t>Space</t>
  </si>
  <si>
    <t>Spaces/EA</t>
  </si>
  <si>
    <t>Miscellaneous Outdoor Recreation Facility</t>
  </si>
  <si>
    <t>Record Size</t>
  </si>
  <si>
    <t>Tennis Court, 7200 SF, lighting, fenced, resilient cushioned layer</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</si>
  <si>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</si>
  <si>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</si>
  <si>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</si>
  <si>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</si>
  <si>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</si>
  <si>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</si>
  <si>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</si>
  <si>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</si>
  <si>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</si>
  <si>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</si>
  <si>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</si>
  <si>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</si>
  <si>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</si>
  <si>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</si>
  <si>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</si>
  <si>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</si>
  <si>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</si>
  <si>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</si>
  <si>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</si>
  <si>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</si>
  <si>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</si>
  <si>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</si>
  <si>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</si>
  <si>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Unified Facilities Criteria (UFC) 4-750-02N  provides design criteria for outdoor sports and recreation facilities; UFC 4-750-16  provides design criteria  for military recreation centers.</t>
  </si>
  <si>
    <t xml:space="preserve">No fire suppression system is specified for outdoor recreation facilities.  
</t>
  </si>
  <si>
    <t xml:space="preserve">No UFC requirement exists for the incorporation of a loading dock as this is not a facility with anticipated deliveries.
No elevator is provided in consonance with the Elevator Business Rules.
</t>
  </si>
  <si>
    <t xml:space="preserve">No UFC requirement exists for the incorporation of overhead cranes.  
</t>
  </si>
  <si>
    <t xml:space="preserve">Standards, in the form of guide specifications, are cited above. </t>
  </si>
  <si>
    <t>Museum</t>
  </si>
  <si>
    <t>16/19</t>
  </si>
  <si>
    <t>Museum, C, Good</t>
  </si>
  <si>
    <t>Sprinkler, 15,000 SF wet, good</t>
  </si>
  <si>
    <t>Columbarium</t>
  </si>
  <si>
    <t>Mausoleum, Niche, Average</t>
  </si>
  <si>
    <t>Niche</t>
  </si>
  <si>
    <t>Pentagon Memorial</t>
  </si>
  <si>
    <t>Project Cost Line Item for 184 Memorials</t>
  </si>
  <si>
    <t>Memorials</t>
  </si>
  <si>
    <t>Cost per Memorial Unit</t>
  </si>
  <si>
    <t>Electrical Power Source</t>
  </si>
  <si>
    <t>Standby power, complete with controls, 1000 KW, Diesel Drive</t>
  </si>
  <si>
    <t>Stand-By/Emergency Power</t>
  </si>
  <si>
    <t>Unit Cost (EA)</t>
  </si>
  <si>
    <t>Reference Size (KW)</t>
  </si>
  <si>
    <t>Standby Generator, Diesel, 3 Phase / 4 Wire, 75 KW</t>
  </si>
  <si>
    <t>KW/EA</t>
  </si>
  <si>
    <t>Standby Generator, Diesel, 3 Phase / 4 Wire, 125 KW</t>
  </si>
  <si>
    <t>Standby Generator, Diesel, 3 Phase / 4 Wire, 200 KW</t>
  </si>
  <si>
    <t>Standby Generator, Diesel, 3 Phase / 4 Wire, 300 KW</t>
  </si>
  <si>
    <t>Standby Generator, Diesel, 3 Phase / 4 Wire, 400 KW</t>
  </si>
  <si>
    <t>Standby Generator, Diesel, 3 Phase / 4 Wire, 500 KW</t>
  </si>
  <si>
    <t>Electrical Power Source, Hydroelectric</t>
  </si>
  <si>
    <t>Generating Plant, Hydropower</t>
  </si>
  <si>
    <t>KW to MW</t>
  </si>
  <si>
    <t>Electrical Power Source, Wind Generated</t>
  </si>
  <si>
    <t>Wind power turbine</t>
  </si>
  <si>
    <t>Electrical Power Source, Photovoltaic</t>
  </si>
  <si>
    <t>54/5</t>
  </si>
  <si>
    <t>Solar Module, 300 W, 1,000 EA</t>
  </si>
  <si>
    <t>Watts</t>
  </si>
  <si>
    <t>KW per system</t>
  </si>
  <si>
    <t>Industrial Inverter, 3-Phase, grid-tie, 300 KW</t>
  </si>
  <si>
    <t>Charge Controller, 60 amp, 20 each</t>
  </si>
  <si>
    <t>Amp</t>
  </si>
  <si>
    <t>Industrial Deep-Cycle Battery Pack, 24 volt, 10 each</t>
  </si>
  <si>
    <t>Volt</t>
  </si>
  <si>
    <t>Designed as a 300 KW System</t>
  </si>
  <si>
    <t>Electrical Power Distribution Line, Overhead</t>
  </si>
  <si>
    <t>Unit Cost                (1000 LF)</t>
  </si>
  <si>
    <t>to LF</t>
  </si>
  <si>
    <t>Overhead Lines below 15KV, with Cross Arms and Insulators</t>
  </si>
  <si>
    <t>Exterior Lighting, Pole</t>
  </si>
  <si>
    <t>Street light, underground  wiring, 200' O.C.</t>
  </si>
  <si>
    <t>Electrical Power Distribution Line, Underground</t>
  </si>
  <si>
    <t>Unit Cost (LF)</t>
  </si>
  <si>
    <t>Direct Burial, #1/0 - 3/C, 600 Volts DB, SEU Copper Conductor, Excavation and Backfill (USACE PAX Newsletter 3.2.2, 06 April 2017)</t>
  </si>
  <si>
    <t>Direct Burial, #4/0 - 3/C, 600 Volts DB, SEU Copper Conductor, Excavation and Backfill (USACE PAX Newsletter 3.2.2, 06 April 2017)</t>
  </si>
  <si>
    <t>Underground Ductbanks, 1-Way, 4" Diameter PVC, including Excavation, Cast-in-Place Concrete, Backfill</t>
  </si>
  <si>
    <t>Underground Ductbanks, 2-Way, 4" Diameter PVC, including Excavation, Cast-in-Place Concrete, Backfill</t>
  </si>
  <si>
    <t>Underground Ductbanks, 4-Way, 4" Diameter PVC, including Excavation, Cast-in-Place Concrete, Backfill</t>
  </si>
  <si>
    <t>Underground Ductbanks, 6-Way, 6" Diameter PVC, including Excavation, Cast-in-Place Concrete, Backfill</t>
  </si>
  <si>
    <t>Electrical Power Transformers</t>
  </si>
  <si>
    <t>EA/KV</t>
  </si>
  <si>
    <t>Lightning Protection System, Standalone</t>
  </si>
  <si>
    <t>Utility Pole, 40' High</t>
  </si>
  <si>
    <t>Grounding Rod, Complete, Good</t>
  </si>
  <si>
    <t>Lightning Terminal Point</t>
  </si>
  <si>
    <t>FT/EA</t>
  </si>
  <si>
    <t xml:space="preserve">54/2 </t>
  </si>
  <si>
    <t>Insulator and Cable</t>
  </si>
  <si>
    <t>Heat Source</t>
  </si>
  <si>
    <t>Feature</t>
  </si>
  <si>
    <t>1 Boiler Horsepower (BHP) = 33,475 BH</t>
  </si>
  <si>
    <t>BH/BHP</t>
  </si>
  <si>
    <t>BHP = average size</t>
  </si>
  <si>
    <t>62/1</t>
  </si>
  <si>
    <t>Large high capacity package boiler proportional cost</t>
  </si>
  <si>
    <t>/BHP</t>
  </si>
  <si>
    <t>Cost per BH = ($/BHP)*BHP/BH</t>
  </si>
  <si>
    <t>/BH</t>
  </si>
  <si>
    <t>per BH</t>
  </si>
  <si>
    <t>62/5</t>
  </si>
  <si>
    <t>Steel stack, 36 " diameter, 3/8", including foundation, 30 FT (Cost per foot of height)</t>
  </si>
  <si>
    <t>UM changed for FY17 at direction of RPCP</t>
  </si>
  <si>
    <t xml:space="preserve">UFCs cited above direct the user to the ASME code for construction (fabrication) of a heat source.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</si>
  <si>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</si>
  <si>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</si>
  <si>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</si>
  <si>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</si>
  <si>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 xml:space="preserve">  </t>
  </si>
  <si>
    <t>Heat Distribution Line</t>
  </si>
  <si>
    <t>Steam (ST) Condensate (CNDS) Lines - Underground (Prefabricated Black Steel Pipe, Insulated (INSL) Cases), including Fittings and Testing</t>
  </si>
  <si>
    <t>Common Conduit, 2" ST &amp; 1.25" CNDS Return, in 12-3/4" INSL Case (Manholes (MH) @ 250' O.C.)</t>
  </si>
  <si>
    <t>Common Conduit, 1.5" ST &amp; 1.5" CNDS Return, in 10-3/4" INSL Case (MH @ 250' O.C.)</t>
  </si>
  <si>
    <t xml:space="preserve">Common Conduit, 1.25" ST &amp; 1.5" CNDS Return, in 10 -3/4" INSL Case (MH @ 250' O.C.) </t>
  </si>
  <si>
    <t>Single Conduit, 1.25" pipe,  in 12-3/4 " INSL Case on Supports</t>
  </si>
  <si>
    <t>Single Conduit, 1.5" pipe, in 12-3/4" INSL Case on Supports</t>
  </si>
  <si>
    <t>Single Conduit, 3" pipe, in 14"INSL Case on Supports</t>
  </si>
  <si>
    <t xml:space="preserve">Single Conduit, 4" pipe, in 14" INSL Case on Supports </t>
  </si>
  <si>
    <t>Single Conduit, 18" pipe, in 18" INSL Case on  Supports</t>
  </si>
  <si>
    <t>1"HW &amp; 1" RET Pipe in 10-3/4" INSL Case</t>
  </si>
  <si>
    <t xml:space="preserve">1-1/2" HW &amp; 1-1/2" RET Pipe in 10-3/4" INSL Case </t>
  </si>
  <si>
    <t>2" HW &amp; 2" RET Pipe in 10-3/4" INSL Case</t>
  </si>
  <si>
    <t>3" HW &amp; 3" RET Pipe in 16" INSL Case</t>
  </si>
  <si>
    <t>4"HW &amp; 4" RET Pipe in 10" INSL Case</t>
  </si>
  <si>
    <t>Heat Gas Production Plant</t>
  </si>
  <si>
    <t>64/3</t>
  </si>
  <si>
    <t>Compressor, 20 HP</t>
  </si>
  <si>
    <t>EA to BH</t>
  </si>
  <si>
    <t>Welded Steel Pressure Tank, 45,000 GA</t>
  </si>
  <si>
    <t>Heat Gas Storage</t>
  </si>
  <si>
    <t>Welded Steel Pressure Tank, complete installation, 12,000 gal</t>
  </si>
  <si>
    <t>Heat Gas Distribution Line</t>
  </si>
  <si>
    <t>Gas Main, 4" plastic</t>
  </si>
  <si>
    <t>Gas Main, 3" Steel</t>
  </si>
  <si>
    <t>Refrigeration and Air Conditioning Source</t>
  </si>
  <si>
    <t>53/5</t>
  </si>
  <si>
    <t>Engineered System, installation, power,
connections, and all ancillary item, 200 TR</t>
  </si>
  <si>
    <t>Engineered System, installation, power,
connections, and all ancillary items, 300 TR</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</si>
  <si>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</si>
  <si>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Guide Specifications (UFGS), listed below, provide guidance for the selection of materials.
</t>
  </si>
  <si>
    <t xml:space="preserve">No fire suppression system is specified for this device.  The utility plant building in which this FAC is typically located is governed by 
UFC 3-600-01, "Fire Protection Engineering for Facilities" requires compliance with National Fire Protection Association (NFPA) 850 in power generating plants, which requires the use of an appropriate fire suppression system.
</t>
  </si>
  <si>
    <t>• M&amp;S Selection Business Rule
• Fire Sprinkler Business Rule
• MILCON Cost Premium Business Rule</t>
  </si>
  <si>
    <t>Chilled Water and Refrigerant Distribution Line</t>
  </si>
  <si>
    <t>62/3</t>
  </si>
  <si>
    <t>Utility Piping, pressure pipe, 6", steel, buried</t>
  </si>
  <si>
    <t>Return Line, Same as above</t>
  </si>
  <si>
    <t>62/2</t>
  </si>
  <si>
    <t>Sewage Treatment</t>
  </si>
  <si>
    <t>Sewage Treatment Plant, Large, Municipal, 1M-5M GPD</t>
  </si>
  <si>
    <t xml:space="preserve">Unified Facilities Criteria (UFC) 3-240-02, "Domestic Wastewater Treatment," provides design criteria for this FAC
</t>
  </si>
  <si>
    <t xml:space="preserve">Unified Facilities Guide Specifications (UFGS) provide guidance for the selection of materials.  These include the following UFGS sections:
46 20 20,"Sewage Bar Screen and Mechanical Shredder" 
46 30 13, "Advanced Oxidation Processes (AOP)"
46 43 21," Circular Clarifier Equipment"
46 61 00, "Filtration Equipment" 
46 73 00.35, "Sludge-Digester Gas, Heating, and Mixing System"
46 73 10, "Floating Cover for Sludge-Digestion Tanks"
</t>
  </si>
  <si>
    <t xml:space="preserve">No fire suppression system is specified for sewage treatment.  
</t>
  </si>
  <si>
    <t xml:space="preserve">• M&amp;S Selection Business Rule
• Fire Sprinkler Business Rule
• Overhead Crane Business Rule
• MILCON Cost Premium Business Rule
</t>
  </si>
  <si>
    <t>Industrial Waste Treatment</t>
  </si>
  <si>
    <t>Sewage Treatment Plant, Large, Municipal, 1M to 5M GPD</t>
  </si>
  <si>
    <t>GA to KG</t>
  </si>
  <si>
    <t>Water Separation Facility</t>
  </si>
  <si>
    <t>17/39</t>
  </si>
  <si>
    <t>Waste System Separator</t>
  </si>
  <si>
    <t>EA to KG</t>
  </si>
  <si>
    <t>Septic Tank and Drain Field</t>
  </si>
  <si>
    <t>Septic tank, installed, connected, 10,000 GA</t>
  </si>
  <si>
    <t>Drain field factor 1.25 x tank cost</t>
  </si>
  <si>
    <t>Grinder pump system</t>
  </si>
  <si>
    <t>Septic Lagoon and Settlement Ponds</t>
  </si>
  <si>
    <t>17/43</t>
  </si>
  <si>
    <t>Lagoon, Open pit, Concrete</t>
  </si>
  <si>
    <t>Agitator &amp; pump</t>
  </si>
  <si>
    <t>Sewage Lift Stations</t>
  </si>
  <si>
    <t>Sewage Lift Station, 200,000 GPD</t>
  </si>
  <si>
    <t>Sewage Lift Station, 100 GPM</t>
  </si>
  <si>
    <t>Sewage Lift Station, 200 GPM</t>
  </si>
  <si>
    <t>Sewer and Industrial Waste Line</t>
  </si>
  <si>
    <t>Average Size of Inventory</t>
  </si>
  <si>
    <t>Average of main and lateral</t>
  </si>
  <si>
    <t xml:space="preserve">Unified Facilities Criteria (UFC) 3-240-01 and American Society of Civil Engineers (ASCE) Manual of Practice (MOP) 60 provide design criteria for this FAC.
</t>
  </si>
  <si>
    <t xml:space="preserve">Unified Facilities Guide Specification (UFGS) 33 30 00  provides guidance for the selection of materials.  
</t>
  </si>
  <si>
    <t xml:space="preserve">The average quantity for this FAC is 12,674 LF (linear feet).  Sewer size (diameter) is taken in the cost estimate as the average between a “main” and a “lateral”.  Design criteria for the selection of the diameter is taken from ASCE MOP 60.  This FAC does not represent a building and therefore has no International Building Code Occupancy Group.
</t>
  </si>
  <si>
    <t xml:space="preserve">No fire suppression system is specified for underground sewage/industrial waste lines.  
</t>
  </si>
  <si>
    <t xml:space="preserve">Standards, in the form of guide specifications, Manual of Practice and a Unified Facilities Criteria, are cited above. </t>
  </si>
  <si>
    <t>Refuse Collection and Recycling Facility</t>
  </si>
  <si>
    <t>Waste transfer and recycling buildings with tipping floor and small office, excluding equipment. Class C/D/S</t>
  </si>
  <si>
    <t>Incinerator</t>
  </si>
  <si>
    <t>62/6</t>
  </si>
  <si>
    <t>Feeder</t>
  </si>
  <si>
    <t>EA to TH</t>
  </si>
  <si>
    <t>Chimney, 12" round, per foot, assume 50 ft</t>
  </si>
  <si>
    <t>Service entrance, 3 Ph, 400 A</t>
  </si>
  <si>
    <t>Safety switch, 400 A</t>
  </si>
  <si>
    <t>Switchgear, 400 A, Commercial</t>
  </si>
  <si>
    <t>Circuit breakers, 400-600 A, 2 EA,240-480v</t>
  </si>
  <si>
    <t>Sanitary Landfill</t>
  </si>
  <si>
    <t>Landfill</t>
  </si>
  <si>
    <t>Hazardous Waste Landfill</t>
  </si>
  <si>
    <t>Water Treatment Facility</t>
  </si>
  <si>
    <t>Water Treatment Plant, Medium, 750K - 1M GPD</t>
  </si>
  <si>
    <t>GPD</t>
  </si>
  <si>
    <t xml:space="preserve">Unified Facilities Criteria (UFC) 3-230-03  provides design criteria for this FAC.
</t>
  </si>
  <si>
    <t xml:space="preserve">UFC 3-230-03  and Unified Facilities Guide Specification (UFGS) 02 51 13  provide guidance for the selection of materials.  
</t>
  </si>
  <si>
    <t>The average quantity for this FAC is 1,319 KG (thousands of gallons per day).
This FAC does not represent a building and therefore has no International Building Code Occupancy Group.</t>
  </si>
  <si>
    <t xml:space="preserve">No fire suppression system is specified for water treatment facilities.  
</t>
  </si>
  <si>
    <t xml:space="preserve">Standards, in the form of guide specifications, Manual of Practice and a UFC, are cited above. </t>
  </si>
  <si>
    <t>Water Storage, Potable</t>
  </si>
  <si>
    <t>Reservoir, Potable Water, Steel Storage Tank, Ground Level, 250,000 GA</t>
  </si>
  <si>
    <t>Reservoir, Potable Water, Steel Storage Tank, Ground Level, 500,000 GA</t>
  </si>
  <si>
    <t>Water Well, Potable</t>
  </si>
  <si>
    <t>9" casing, Average, 200 FT, $52.50/FT</t>
  </si>
  <si>
    <t>17/57</t>
  </si>
  <si>
    <t>Water Distribution Line, Potable</t>
  </si>
  <si>
    <t xml:space="preserve">Unified Facilities Guide (UFC) 3-230-01  provides design criteria for this FAC.
</t>
  </si>
  <si>
    <t xml:space="preserve">Unified Facilities Guide Specification (UFGS) 33 11 00  provides guidance for the selection of materials.  
</t>
  </si>
  <si>
    <t xml:space="preserve">No fire suppression system is specified for potable water distribution lines.  
</t>
  </si>
  <si>
    <t>Water Pump Facility, Potable</t>
  </si>
  <si>
    <t>Reference Size (GPM)</t>
  </si>
  <si>
    <t>Water Pump, Non-Potable, 1,000 GPM, 4" Diesel Pump</t>
  </si>
  <si>
    <t>Water Pump, Non-Potable, 2,000 GPM, 6" Diesel Pump</t>
  </si>
  <si>
    <t>Water Pump, 1,000 GPM, 5" Electric Pump</t>
  </si>
  <si>
    <t>Water Source, Fire Protection</t>
  </si>
  <si>
    <t>500 GPM, 4" Diesel Pump, 125 PSI, 78 HP, Including Controller, Fittings, &amp; Relief Valve, No Building</t>
  </si>
  <si>
    <t>1,000 GPM, 4" Diesel Pump, 100 PSI, 89 HP, Including Controller, Fittings, &amp; Relief Valve, No Building</t>
  </si>
  <si>
    <t>2,000 GPM, 6" Diesel Pump, 100 PSI, 167 HP, Including Controller, Fittings, &amp; Relief Valve, No Building</t>
  </si>
  <si>
    <t>1,000 GPM, 5" Electric Pump, 100 PSI, 86 HP, 3,500 RPM, Including Controller, Fittings, &amp; Relief Valve, No Building</t>
  </si>
  <si>
    <t>Water Distribution Line, Fire Protection</t>
  </si>
  <si>
    <t>Assume 100% of system has hydrants</t>
  </si>
  <si>
    <t>Water Pump Facility, Fire Protection</t>
  </si>
  <si>
    <t>Water Source, Non-Potable</t>
  </si>
  <si>
    <t>9" casing, 200 LF, $52.50/LF</t>
  </si>
  <si>
    <t>GPM to KG</t>
  </si>
  <si>
    <t>Pump, vertical turbine, 600 GPM, 10 HP</t>
  </si>
  <si>
    <t>600 GPM = 864 KG assume service factor of 50% (conversion factor = 432)</t>
  </si>
  <si>
    <t>Water Storage, Non Potable</t>
  </si>
  <si>
    <t>61/3</t>
  </si>
  <si>
    <t>Welded steel, surface reservoir, 750,000 GA</t>
  </si>
  <si>
    <t>Welded steel, surface reservoir, 1,000,000 GA</t>
  </si>
  <si>
    <t>Tank, Elevated, High Stress, 1,000,000 GA, 75 FT height</t>
  </si>
  <si>
    <t>Water Pump Facility, Non-Potable</t>
  </si>
  <si>
    <t>Road, Surfaced</t>
  </si>
  <si>
    <t>Asphalt Road</t>
  </si>
  <si>
    <t>Linear CY</t>
  </si>
  <si>
    <t>CY to SY</t>
  </si>
  <si>
    <t>Backfill &amp; Compaction with Vibrating Roller (Asphalt Road, 18" compacted base course)</t>
  </si>
  <si>
    <t>ECY</t>
  </si>
  <si>
    <t>ECY to SY</t>
  </si>
  <si>
    <t>1-1/2" Crushed Stone Base, 6" Deep, Compacted, without Earthwork</t>
  </si>
  <si>
    <t>Surface Treatment, Tack Coat Emulsion. 15 GA/SY</t>
  </si>
  <si>
    <t>Plant Mix Asphalt, 3" Thick, Asphalt Concrete Surface Paving Wearing Course</t>
  </si>
  <si>
    <t>Concrete Road</t>
  </si>
  <si>
    <t>Backfill &amp; Compaction with Vibrating Roller (Concrete Road, 12" compacted base course)</t>
  </si>
  <si>
    <t>1-1/2" Crushed Stone Base, 4" Deep, Compacted, without Earthwork</t>
  </si>
  <si>
    <t>6" Thick, Reinforced Concrete Pavement, 4500 PSI, Fixed Form, 12' Pass, Including Joints, Finishings, Curing; no Earthwork</t>
  </si>
  <si>
    <t>Cast-in-Place Concrete Curb and Gutter, 6" High, 6" Thick, 24"wide (24' non-divided Roadway)</t>
  </si>
  <si>
    <t>LF to SY</t>
  </si>
  <si>
    <t>Pavement Markings, Acrylic Waterborne, 4" wide White or Yellow</t>
  </si>
  <si>
    <t>Road, Unsurfaced</t>
  </si>
  <si>
    <t>Fine Grading, Granular Subbase for Paving, +/- 1" Compaction, 3 passes, 6" Lifts</t>
  </si>
  <si>
    <t>Road construction assumes 12" clearing and grubbing to reach inorganic base.</t>
  </si>
  <si>
    <t>Vehicle Bridge</t>
  </si>
  <si>
    <t xml:space="preserve">Unified Facilities Criteria (UFC) 3-201-01  provides design criteria for this FAC.  This UFC requires design compliance with American Association of State Highway and Transportation Officials (AASHTO) "Standard Specification for Highway Bridges," including both vehicular and pedestrian bridges.
</t>
  </si>
  <si>
    <t xml:space="preserve">Material guidance is provided in AASHTO Load and Resistance Factor Design (LRFD) Bridge Design Specifications.  
</t>
  </si>
  <si>
    <t xml:space="preserve">No fire suppression system is specified for vehicle bridges.  
</t>
  </si>
  <si>
    <t xml:space="preserve">No UFC requirement exists for the incorporation of a loading dock as this is neither a facility nor building.
No elevator is provided in consonance with the Elevator Business Rules.
</t>
  </si>
  <si>
    <t>Underground walkway, per SF including HVAC and lighting</t>
  </si>
  <si>
    <t>SF to LF</t>
  </si>
  <si>
    <t>Vehicle Parking, Surfaced</t>
  </si>
  <si>
    <t>Grading - rough and finished, average</t>
  </si>
  <si>
    <t>per parking space</t>
  </si>
  <si>
    <t>Space to SY</t>
  </si>
  <si>
    <t>Drainage, average</t>
  </si>
  <si>
    <t>Paving - spaces and drives, average</t>
  </si>
  <si>
    <t>Pavement marking, striping, bumpers, average</t>
  </si>
  <si>
    <t>Electrical – lighting and wiring, average</t>
  </si>
  <si>
    <t>Planning Factor = 315 SF per space = 35 SY</t>
  </si>
  <si>
    <t xml:space="preserve">Unified Facilities Criteria (UFC) 3-250-01  provides design criteria for this FAC.  Marking guidance is provided in Unified Facilities Guide Specification (UFGS) 32 17 23. 
</t>
  </si>
  <si>
    <t xml:space="preserve">Material guidance is provided in UFC 3-250-01 , UFC 3-250-09FA, and UFGS 32 13 13.06.
</t>
  </si>
  <si>
    <t xml:space="preserve">No fire suppression system is specified for surfaced vehicle parking.  
</t>
  </si>
  <si>
    <t xml:space="preserve">Standards, in the form of guide specifications, Manual of Practice, and a UFC, are cited above. </t>
  </si>
  <si>
    <t>Vehicle Parking and Staging Area, Unsurfaced</t>
  </si>
  <si>
    <t>Vehicle Staging Area, Surfaced</t>
  </si>
  <si>
    <t xml:space="preserve">The average quantity for this FAC is 7,999 SY (square yards).
This FAC does not represent a building and therefore has no International Building Code Occupancy Group.
</t>
  </si>
  <si>
    <t xml:space="preserve">No fire suppression system is specified for surfaced vehicle staging areas.  
</t>
  </si>
  <si>
    <t>Sidewalk and Walkway</t>
  </si>
  <si>
    <t>Sidewalk, Concrete</t>
  </si>
  <si>
    <t xml:space="preserve">Unified Facilities Criteria (UFC) 3-201-01  provides design criteria for this FAC. 
</t>
  </si>
  <si>
    <t xml:space="preserve">Material guidance is provided in UFC 3-201-01 and Unified Facilities Guide Specification (UFGS) 32 16 13.
</t>
  </si>
  <si>
    <t>The average quantity for this FAC is 4,404 SY.  This FAC does not represent a building and therefore has no International Building Code Occupancy Group.</t>
  </si>
  <si>
    <t xml:space="preserve">No fire suppression system is specified for sidewalk and walkway. 
</t>
  </si>
  <si>
    <t xml:space="preserve">No UFC requirement exists for the incorporation of a loading dock and no elevator is provided as this is neither a facility nor building.  
</t>
  </si>
  <si>
    <t>Pedestrian Bridge</t>
  </si>
  <si>
    <t>Pedestrian bridge, steel</t>
  </si>
  <si>
    <t xml:space="preserve">Unified Facilities Criteria (UFC) 3-201-01  provides design criteria for this FAC.  This UFC requires design compliance with American Association of State Highway and Transportation Officials (AASHTO)  Standard Specification for Highway Bridges.   The AASHTO standard specification includes both vehicular and pedestrian bridges.
</t>
  </si>
  <si>
    <t xml:space="preserve">The average quantity for this FAC is 90 SY (square yards).  This FAC does not represent a building and therefore has no International Building Code Occupancy Group.
</t>
  </si>
  <si>
    <t xml:space="preserve">No fire suppression system is specified for pedestrian bridges.
</t>
  </si>
  <si>
    <t>Miscellaneous Paved Area</t>
  </si>
  <si>
    <t>space to SY</t>
  </si>
  <si>
    <t>Paving - spaces and drives</t>
  </si>
  <si>
    <t>Planning Factor, average = 315 SF per parking space</t>
  </si>
  <si>
    <r>
      <t xml:space="preserve">The 35  space/SY conversion is 315 SF/space </t>
    </r>
    <r>
      <rPr>
        <sz val="11"/>
        <color theme="1"/>
        <rFont val="Calibri"/>
        <family val="2"/>
      </rPr>
      <t>÷ 9 SF/SY</t>
    </r>
  </si>
  <si>
    <t xml:space="preserve">Unified Facilities Criteria (UFC) 3-250-01  provides design criteria for this FAC.  Marking guidance is provided in Unified Facilities Guide Specification (UFGS) 32 17 23 .
</t>
  </si>
  <si>
    <t xml:space="preserve">Material guidance is provided in UFC 3-250-01 , UFC 3-250-09FA,  and UFGS 32 13 13.06.
</t>
  </si>
  <si>
    <t>The average quantity for this FAC is 1,123 SY.  This FAC does not represent a building and therefore has no International Building Code Occupancy Group.</t>
  </si>
  <si>
    <t xml:space="preserve">No fire suppression system is specified for miscellaneous paved area. 
</t>
  </si>
  <si>
    <t xml:space="preserve">Standards, in the form of guide specifications, Manual of Practice and UFCs, are cited above. </t>
  </si>
  <si>
    <t>Parking Garage/Building</t>
  </si>
  <si>
    <t>Traffic Signals</t>
  </si>
  <si>
    <t>Private Sector Bid Prices</t>
  </si>
  <si>
    <t>Per Intersection</t>
  </si>
  <si>
    <t>--Loudoun County VA, 9/16</t>
  </si>
  <si>
    <t>--Weld County CO, Feb 16</t>
  </si>
  <si>
    <t xml:space="preserve">--Plymouth IN, May 2017 </t>
  </si>
  <si>
    <t>--Clovis CA bid, 11/16</t>
  </si>
  <si>
    <t>--Camarillo CA, 8/16</t>
  </si>
  <si>
    <t>--Corpus Christi TX, 5/15</t>
  </si>
  <si>
    <t>--Moore OK, 1/17</t>
  </si>
  <si>
    <t>--Union City OR, 8/15</t>
  </si>
  <si>
    <t>--Lawrence KS, 4/17</t>
  </si>
  <si>
    <t>--Olathe KS, 12/16</t>
  </si>
  <si>
    <t>Average Cost</t>
  </si>
  <si>
    <t>Railroad Track</t>
  </si>
  <si>
    <t>Railroad Spur, 115#/yard rail, per FT of track</t>
  </si>
  <si>
    <t>LF to Mile</t>
  </si>
  <si>
    <t>25% deduction for rail over 500 FT</t>
  </si>
  <si>
    <t>Miscellaneous Railroad Facility</t>
  </si>
  <si>
    <t>17/55</t>
  </si>
  <si>
    <t>Railroad Track Scales, 200 Ton capacity, reinforced concrete pit &amp; platform, steel scale mechanism</t>
  </si>
  <si>
    <t>Storm Drainage</t>
  </si>
  <si>
    <t>Average of:</t>
  </si>
  <si>
    <t>66/11</t>
  </si>
  <si>
    <t xml:space="preserve">Average Pipe Cost </t>
  </si>
  <si>
    <t>Retaining Structure</t>
  </si>
  <si>
    <t>Hillside retaining wall add 100%</t>
  </si>
  <si>
    <t>Levees and Dikes for Grounds Drainage</t>
  </si>
  <si>
    <t>Bulk Excavation, medium earth</t>
  </si>
  <si>
    <t>CY to LF</t>
  </si>
  <si>
    <t>Backfill and compaction, unconfined, hard earth</t>
  </si>
  <si>
    <t>Synthetic matting</t>
  </si>
  <si>
    <t>Riprap</t>
  </si>
  <si>
    <t>Gabions filled with stone, high cost</t>
  </si>
  <si>
    <t>Lawn, Hydroseeding only, average</t>
  </si>
  <si>
    <t xml:space="preserve">   </t>
  </si>
  <si>
    <t>Storm Water Ponds</t>
  </si>
  <si>
    <t>EA to MG</t>
  </si>
  <si>
    <t>325851.432 gallons in 1 acre-foot</t>
  </si>
  <si>
    <t>,</t>
  </si>
  <si>
    <t>Boundary Fence and Wall</t>
  </si>
  <si>
    <t>Add for 3-strand barbed wire</t>
  </si>
  <si>
    <t>EA to LF</t>
  </si>
  <si>
    <t>Add stainless steel security gate, 1 per 1,000 LF, add 30% for electrically-operated gate</t>
  </si>
  <si>
    <t>Security micro-mesh, $1.10/SF = $8.80/LF for 8' fence height</t>
  </si>
  <si>
    <t>Subtotal before deduction</t>
  </si>
  <si>
    <t>Quantity deduction for &gt;6,000 LF</t>
  </si>
  <si>
    <t>Total after deduction</t>
  </si>
  <si>
    <t xml:space="preserve">Unified Facilities Criteria (UFC) 4-022-01  provides design criteria for fences and walls; UFC 4-022-03  provides guidance for fences and gates.  American Society of Civil Engineers (ASCE) 7-10  provides design standards and material guidance for free standing walls.
</t>
  </si>
  <si>
    <t xml:space="preserve">Construction material guidance is provided in the UFCs cited above, as well as Unified Facilities Guide Specification (UFGS) 32 31 26  (material guidance for fences and gates), UFGS 32 31 13  (material guidance for chain line fences and gates), and UFGS 32 32 23 (guidance on walls).  
</t>
  </si>
  <si>
    <t xml:space="preserve">No fire suppression system is specified for boundary fences or walls.  
</t>
  </si>
  <si>
    <t xml:space="preserve">No UFC requirement exists for the incorporation of a loading dock and no elevator is provided as this is not a building.
</t>
  </si>
  <si>
    <t xml:space="preserve">Standards, in the form of UFGSs and UFCs, are cited above. </t>
  </si>
  <si>
    <t>Security Fence</t>
  </si>
  <si>
    <t>Add for barbed coils</t>
  </si>
  <si>
    <t>Add turn-style, stainless steel, 1 per 1,000 LF, plus 30% for electrically-operated gate</t>
  </si>
  <si>
    <t xml:space="preserve">Unified Facilities Criteria (UFC) 4-022-03  provides design criteria for this FAC.
</t>
  </si>
  <si>
    <t xml:space="preserve">Unified Facilities Guide Specification (UFGS) 32 31 13  provides guidance for the selection of materials.  
</t>
  </si>
  <si>
    <t xml:space="preserve">The average quantity for this FAC is 5,842 LF (linear feet), based on 2,976 records in the 2017 RPAD.
This FAC does not represent a building and therefore has no International Building Code Occupancy Group.
</t>
  </si>
  <si>
    <t xml:space="preserve">No fire suppression system is specified for security fences.  
</t>
  </si>
  <si>
    <t xml:space="preserve">Standards, in the form of guide specifications, and UFC, are cited above. </t>
  </si>
  <si>
    <t>Navigation Revetments</t>
  </si>
  <si>
    <t>No Records</t>
  </si>
  <si>
    <t>Soil Stabilization, lime</t>
  </si>
  <si>
    <t>Rip rap</t>
  </si>
  <si>
    <t>Assume SY = 1 LF x 9 FT from shore to water</t>
  </si>
  <si>
    <t>Utility Building</t>
  </si>
  <si>
    <t>Mechanical Building, Class S</t>
  </si>
  <si>
    <t>Sprinkler, Dry System, Average, 2,500 SF</t>
  </si>
  <si>
    <t>Unified Facilities Criteria (UFC) for Multi-Disciplinary and Facility Specific Design (UFC 3-501, "Electrical Engineering;" UFC 4-200, "Maintenance and Production Facilities;" and, UFC 4-800, "Utilities and Ground Improvements Series") are not provided for this type of facility.  
FAC 8910 aggregates 70 category codes for a variety of utility types encompassing all Services and WHS.</t>
  </si>
  <si>
    <t xml:space="preserve">No UFC criteria exist for component material.  The reference to Marshall and Swift commercial and public utility/governmental utility buildings includes metal and masonry construction. </t>
  </si>
  <si>
    <t xml:space="preserve">UFC 3-600-01, "Fire Protection Engineering for Facilities," requires compliance with National Fire Protection Association (NFPA) 850 in power generating plants.   National Fire Protection Association (NFPA) 850 requires the use of an appropriate fire suppression system.
International Building Code Group H.
</t>
  </si>
  <si>
    <t xml:space="preserve">No UFC requirement exists for the incorporation of overhead cranes.  Because of the small average size of the FAC and the expected light-weight construction (metal building), an overhead crane is structurally improbable. </t>
  </si>
  <si>
    <t xml:space="preserve">No UFC criteria exist for component material.  The reference to Marshall and Swift commercial and governmental utility buildings includes metal and masonry construction. </t>
  </si>
  <si>
    <t>Installation Gas Production Plant</t>
  </si>
  <si>
    <t>Armory, Class C, Average, (similar in construction to utility building)</t>
  </si>
  <si>
    <t>Loading Dock, steel piers, heavy slab, steel bumper (Assume 15 FT x 30 FT)</t>
  </si>
  <si>
    <t>Welded Steel Pressure Tank, 15,000 GA, 7 FT x 54 FT</t>
  </si>
  <si>
    <t>Installation Gas Storage</t>
  </si>
  <si>
    <t>Welded Steel Pressure Tank, 9,000 GA, 7 FT X 35 FT</t>
  </si>
  <si>
    <t>Vehicle Scales</t>
  </si>
  <si>
    <t>Truck scales, Fixed, 50 Ton, Class S</t>
  </si>
  <si>
    <t>Miscellaneous Pump Station</t>
  </si>
  <si>
    <t>Hazardous Waste Storage Or Disposal Facility</t>
  </si>
  <si>
    <t>Main Storage Area</t>
  </si>
  <si>
    <t>14/26</t>
  </si>
  <si>
    <t xml:space="preserve">Warehouse, Class C, Average, 5,000 SF </t>
  </si>
  <si>
    <t xml:space="preserve">per drum </t>
  </si>
  <si>
    <t>Drum to EA</t>
  </si>
  <si>
    <t>Sprinkler, average, wet, high hazard, 5,000 SF</t>
  </si>
  <si>
    <t>15% extra hazard addition</t>
  </si>
  <si>
    <t>each</t>
  </si>
  <si>
    <t>Satellite Storage</t>
  </si>
  <si>
    <t>Storage Cabinet meeting OSHA 1910.106 and NFPA 30 codes, 18-gauge steel, Double wall construction, manual close hinged doors</t>
  </si>
  <si>
    <t>Waste collection system/secondary containment, double drum</t>
  </si>
  <si>
    <t xml:space="preserve">The Resource Conservation and Recovery Act (RCRA), as implemented by regulation, sets the standards for hazardous waste storage and disposal.  The Defense Logistics Agency (DLA) is the designated recipient hazardous waste for storage, transport and disposal.   
</t>
  </si>
  <si>
    <t xml:space="preserve">Unified Facilities Guide Specification (UFGS) 02 81 00  provides guidance for the selection of materials.  Public Works Technical Bulletin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</si>
  <si>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</si>
  <si>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</si>
  <si>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</si>
  <si>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UFGSs, a Technical Bulletin and the Code of Federal Regulations (CFR) are cited above. </t>
  </si>
  <si>
    <t>Utility Vaults</t>
  </si>
  <si>
    <t>Loading Platform/Ramp</t>
  </si>
  <si>
    <t>Loading ramp, per SF, paved ramp, steel railing, for forklift</t>
  </si>
  <si>
    <t>Installation Gas Distribution Line</t>
  </si>
  <si>
    <t>Utility Tunnel</t>
  </si>
  <si>
    <t>CF to LF</t>
  </si>
  <si>
    <t>Assume larger Tunnel = 12% of inventory</t>
  </si>
  <si>
    <t>Scaled Average</t>
  </si>
  <si>
    <t>Utility Channels</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</si>
  <si>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</si>
  <si>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3-430-09  provides design criteria for this FAC.
</t>
  </si>
  <si>
    <t xml:space="preserve">Unified Facilities Guide Specification (UFGS) 33 63 13.19  provides guidance for the selection of materials.  
</t>
  </si>
  <si>
    <t>The average quantity for this FAC is 12,554 LF (linear feet).
This FAC does not represent a building and therefore has no International Building Code Occupancy Group.</t>
  </si>
  <si>
    <t xml:space="preserve">No fire suppression system is specified for utility channel.
</t>
  </si>
  <si>
    <t xml:space="preserve"> UFC 3-430-09, “Exterior Mechanical Utility Distribution,” 16 January 2004, with Change 1, 25 March 2009
 UFGS 33 63 13.19, “Concrete Trench Hydronic and Steam Energy Distribution,”  1 February 2016
</t>
  </si>
  <si>
    <t>Miscellaneous Storage Tank and Basin</t>
  </si>
  <si>
    <t>Prorate - % of RPAD Records</t>
  </si>
  <si>
    <t>Lagoon, Clay Lined</t>
  </si>
  <si>
    <t>CF to GA</t>
  </si>
  <si>
    <t>Concrete Water Tank, 20,000 GA</t>
  </si>
  <si>
    <t>Lagoon, Concrete</t>
  </si>
  <si>
    <t>Horizontal Bulk Storage Tank, Steel, 1,500 GA</t>
  </si>
  <si>
    <t>Liquid Manure Tank, Rectangular, Covered</t>
  </si>
  <si>
    <t xml:space="preserve">Horizontal Tank, Plastic, 2,500 GA  </t>
  </si>
  <si>
    <t>Liquid Manure Tank, Round, Covered</t>
  </si>
  <si>
    <t>Vertical Welded Tank, 30,000 GA</t>
  </si>
  <si>
    <t>Prorating of CATCODEs Within FAC 8951 detailed below</t>
  </si>
  <si>
    <t xml:space="preserve">Unified Facilities Criteria (UFC) 4-832-01N provides design criteria for industrial and oily wastewater basins and tanks.  UFC 3-240-02  provides design criteria for domestic wastewater basins and tanks.  UFC 3-460-01  provides guidance for waste oil storage tank.  UFC 3-240-0  provides general guidance and design criteria for the design of a broad spectrum of wastewater collection systems, including basins and tanks.  UFC 3-201-01  provides design guidance for the design of basins.  Public Works Technical Bulletin (PWTB) 200-1-38  provides guidelines for complying with oil pollution regulations.  PWTB 200-1-87  provides design and operation guidance for central vehicle wash runoff containing oily pollutants.  Code of Federal Regulations (CFR):  40 CFR 264  and 279  provide regulatory guidance and material selection for waste basins and tanks.
</t>
  </si>
  <si>
    <t xml:space="preserve">The UFCs and CFR Parts cited above provide guidance on material selection.   
</t>
  </si>
  <si>
    <t xml:space="preserve">No fire suppression system is specified for FAC.
</t>
  </si>
  <si>
    <t xml:space="preserve">Standards, in the form of guide specifications, Manual of Practice and Unified Facilities Criteria, are cited above. </t>
  </si>
  <si>
    <t>• M&amp;S Selection Business Rule
• MILCON Cost Premium Business Rule</t>
  </si>
  <si>
    <t>USACE PAX Military Construction (MILCON) Program Inflation Guide</t>
  </si>
  <si>
    <t>Referenced PAX NEWLETTER for CATCODE Unit Cost</t>
  </si>
  <si>
    <t xml:space="preserve"> Reference Date of Unit Cost</t>
  </si>
  <si>
    <t>FISCAL YEAR (FY)</t>
  </si>
  <si>
    <t>DoD SPI Index (Table 4-2, UFC 3-701-1)</t>
  </si>
  <si>
    <t>Budget Guidance for Future Inflation</t>
  </si>
  <si>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</si>
  <si>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</si>
  <si>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</si>
  <si>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</si>
  <si>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</si>
  <si>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</si>
  <si>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</si>
  <si>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</si>
  <si>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</si>
  <si>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</si>
  <si>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1:  The historical index through October 2007 is the Engineering News Record Building Construction Index (ENR BCI).</t>
  </si>
  <si>
    <t>2:  The historical index from October 2007 is the DoD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Bureau of Labor Statistics Producer Price Index (BLS PPI) for NAICS 236223 is now the third index used in the SPI computation.</t>
  </si>
  <si>
    <r>
      <t xml:space="preserve">Incorporating Military Cost Premium into Replacement Unit Costs
</t>
    </r>
    <r>
      <rPr>
        <b/>
        <sz val="11"/>
        <rFont val="Calibri"/>
        <family val="2"/>
        <scheme val="minor"/>
      </rPr>
      <t>Process for calculating and implementing MilCon Cost Premium provided below</t>
    </r>
  </si>
  <si>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</si>
  <si>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</si>
  <si>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</si>
  <si>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</si>
  <si>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</si>
  <si>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</si>
  <si>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</si>
  <si>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</si>
  <si>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</si>
  <si>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</si>
  <si>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</si>
  <si>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</si>
  <si>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</si>
  <si>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</si>
  <si>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</si>
  <si>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</si>
  <si>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</si>
  <si>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</si>
  <si>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RPA Type</t>
  </si>
  <si>
    <t>S</t>
  </si>
  <si>
    <t>LS</t>
  </si>
  <si>
    <t>B</t>
  </si>
  <si>
    <t>ICBM PROCESSING FACILITY</t>
  </si>
  <si>
    <t>SHIP MAINTENANCE DRY DOCK</t>
  </si>
  <si>
    <t>MISCELLANEOUS PERSONNEL SHELTER</t>
  </si>
  <si>
    <t>COMMUNITY ACTIVIES / CONFERENCE CENTER</t>
  </si>
  <si>
    <t>MISCELLANEOUS MWR FACILITY</t>
  </si>
  <si>
    <t>RECREATIONAL SUPPORT BUILDING</t>
  </si>
  <si>
    <t>LIGHTNING PROTECTION SYSTEM, STAND-ALONE</t>
  </si>
  <si>
    <t>MB</t>
  </si>
  <si>
    <t>MISCELLANEOUS UTILITY FACILITY</t>
  </si>
  <si>
    <t>UTILIITY CHANNEL</t>
  </si>
  <si>
    <t>Notes:</t>
  </si>
  <si>
    <r>
      <rPr>
        <b/>
        <sz val="11"/>
        <color theme="1"/>
        <rFont val="Calibri"/>
        <family val="2"/>
        <scheme val="minor"/>
      </rPr>
      <t>1.</t>
    </r>
    <r>
      <rPr>
        <sz val="11"/>
        <color theme="1"/>
        <rFont val="Calibri"/>
        <family val="2"/>
        <scheme val="minor"/>
      </rPr>
      <t xml:space="preserve">  This additional factor is intended only for commercially sourced Replacement Unit Costs (RUCs).  It is designed to incorporate those unique premiums that Military Construction projects are affected by.  For RUCs that are modeled from a combination of military and commercial component sources, if the sum of the commercial components is greater than 50% of the total RUC, than the MCP will apply.  </t>
    </r>
  </si>
  <si>
    <r>
      <rPr>
        <b/>
        <sz val="11"/>
        <color theme="1"/>
        <rFont val="Calibri"/>
        <family val="2"/>
        <scheme val="minor"/>
      </rPr>
      <t>2.</t>
    </r>
    <r>
      <rPr>
        <sz val="11"/>
        <color theme="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RUCs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</si>
  <si>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color theme="1"/>
        <rFont val="Calibri"/>
        <family val="2"/>
        <scheme val="minor"/>
      </rPr>
      <t>3.</t>
    </r>
    <r>
      <rPr>
        <sz val="11"/>
        <color theme="1"/>
        <rFont val="Calibri"/>
        <family val="2"/>
        <scheme val="minor"/>
      </rPr>
      <t xml:space="preserve">  Replacement Unit Costs derived from a Defense Department source (UFC Guidance Unit Costs, USACE PAX) already include these premiums, and therefor are excluded from this additional calculation.  </t>
    </r>
  </si>
  <si>
    <r>
      <rPr>
        <b/>
        <sz val="11"/>
        <color theme="1"/>
        <rFont val="Calibri"/>
        <family val="2"/>
        <scheme val="minor"/>
      </rPr>
      <t>4.</t>
    </r>
    <r>
      <rPr>
        <sz val="11"/>
        <color theme="1"/>
        <rFont val="Calibri"/>
        <family val="2"/>
        <scheme val="minor"/>
      </rPr>
      <t xml:space="preserve">  The L3/Stratus report emphasizes that these factors are "non-additive", meaning they sometimes overlap in their effect and therefor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</si>
  <si>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color theme="1"/>
        <rFont val="Calibri"/>
        <family val="2"/>
        <scheme val="minor"/>
      </rPr>
      <t>5.</t>
    </r>
    <r>
      <rPr>
        <sz val="11"/>
        <color theme="1"/>
        <rFont val="Calibri"/>
        <family val="2"/>
        <scheme val="minor"/>
      </rPr>
      <t xml:space="preserve">  As not all MCP factors apply to all FACs, each FAC is analyzed individually for the application of each MCP factor.   </t>
    </r>
  </si>
  <si>
    <r>
      <rPr>
        <b/>
        <sz val="11"/>
        <color theme="1"/>
        <rFont val="Calibri"/>
        <family val="2"/>
        <scheme val="minor"/>
      </rPr>
      <t>5.a.</t>
    </r>
    <r>
      <rPr>
        <sz val="11"/>
        <color theme="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</si>
  <si>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color theme="1"/>
        <rFont val="Calibri"/>
        <family val="2"/>
        <scheme val="minor"/>
      </rPr>
      <t>5.b.</t>
    </r>
    <r>
      <rPr>
        <sz val="11"/>
        <color theme="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waved overseas (40 U.S.C. § 3142(a)).</t>
    </r>
  </si>
  <si>
    <r>
      <rPr>
        <b/>
        <sz val="11"/>
        <color theme="1"/>
        <rFont val="Calibri"/>
        <family val="2"/>
        <scheme val="minor"/>
      </rPr>
      <t>5.c.</t>
    </r>
    <r>
      <rPr>
        <sz val="11"/>
        <color theme="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</si>
  <si>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color theme="1"/>
        <rFont val="Calibri"/>
        <family val="2"/>
        <scheme val="minor"/>
      </rPr>
      <t>5.d.</t>
    </r>
    <r>
      <rPr>
        <sz val="11"/>
        <color theme="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</si>
  <si>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color theme="1"/>
        <rFont val="Calibri"/>
        <family val="2"/>
        <scheme val="minor"/>
      </rPr>
      <t>5.e.</t>
    </r>
    <r>
      <rPr>
        <sz val="11"/>
        <color theme="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</si>
  <si>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color theme="1"/>
        <rFont val="Calibri"/>
        <family val="2"/>
        <scheme val="minor"/>
      </rPr>
      <t>5.f.</t>
    </r>
    <r>
      <rPr>
        <sz val="11"/>
        <color theme="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</si>
  <si>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color theme="1"/>
        <rFont val="Calibri"/>
        <family val="2"/>
        <scheme val="minor"/>
      </rPr>
      <t>5.g.</t>
    </r>
    <r>
      <rPr>
        <sz val="11"/>
        <color theme="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</si>
  <si>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color theme="1"/>
        <rFont val="Calibri"/>
        <family val="2"/>
        <scheme val="minor"/>
      </rPr>
      <t>5.h.</t>
    </r>
    <r>
      <rPr>
        <sz val="11"/>
        <color theme="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</si>
  <si>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color theme="1"/>
        <rFont val="Calibri"/>
        <family val="2"/>
        <scheme val="minor"/>
      </rPr>
      <t>5.i.</t>
    </r>
    <r>
      <rPr>
        <sz val="11"/>
        <color theme="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</si>
  <si>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color theme="1"/>
        <rFont val="Calibri"/>
        <family val="2"/>
        <scheme val="minor"/>
      </rPr>
      <t>5.j.</t>
    </r>
    <r>
      <rPr>
        <sz val="11"/>
        <color theme="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</si>
  <si>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color theme="1"/>
        <rFont val="Calibri"/>
        <family val="2"/>
        <scheme val="minor"/>
      </rPr>
      <t>5.k.</t>
    </r>
    <r>
      <rPr>
        <sz val="11"/>
        <color theme="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</si>
  <si>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color theme="1"/>
        <rFont val="Calibri"/>
        <family val="2"/>
        <scheme val="minor"/>
      </rPr>
      <t>5.l.</t>
    </r>
    <r>
      <rPr>
        <sz val="11"/>
        <color theme="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</si>
  <si>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color theme="1"/>
        <rFont val="Calibri"/>
        <family val="2"/>
        <scheme val="minor"/>
      </rPr>
      <t>5.m.</t>
    </r>
    <r>
      <rPr>
        <sz val="11"/>
        <color theme="1"/>
        <rFont val="Calibri"/>
        <family val="2"/>
        <scheme val="minor"/>
      </rPr>
      <t xml:space="preserve"> Staffing Requirements.  The experience requirements specified for certain personnel on MILCON projects can result in cost premiums as contractors must find qualified staff. Professional registration, certification,
specialized safety and training requirements are often required above and beyond what is typically necessary on a comparable private sector project.  As MILCON (&gt;$750k) projects are affected by these staffing requirements, those FACs with assets that can only be procured by a MILCON project will receive the Staffing Requirements Premium.  </t>
    </r>
  </si>
  <si>
    <r>
      <rPr>
        <b/>
        <sz val="11"/>
        <color theme="1"/>
        <rFont val="Calibri"/>
        <family val="2"/>
        <scheme val="minor"/>
      </rPr>
      <t>5.n.</t>
    </r>
    <r>
      <rPr>
        <sz val="11"/>
        <color theme="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(&gt;$750k) projects are affected by these limited procurement options, those FACs with assets that can only be procured by a MILCON project will receive the  Limited Procurement Options Premium.</t>
    </r>
  </si>
  <si>
    <r>
      <rPr>
        <b/>
        <sz val="11"/>
        <color theme="1"/>
        <rFont val="Calibri"/>
        <family val="2"/>
        <scheme val="minor"/>
      </rPr>
      <t>6.</t>
    </r>
    <r>
      <rPr>
        <sz val="11"/>
        <color theme="1"/>
        <rFont val="Calibri"/>
        <family val="2"/>
        <scheme val="minor"/>
      </rPr>
      <t xml:space="preserve"> MCP components that no credible findings by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</si>
  <si>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</si>
  <si>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Building Class and Type Selection Business Rule for Replacement Unit Cost Development</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</si>
  <si>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</si>
  <si>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</si>
  <si>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</si>
  <si>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</si>
  <si>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</si>
  <si>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</si>
  <si>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</si>
  <si>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</si>
  <si>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</si>
  <si>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</si>
  <si>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</si>
  <si>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</si>
  <si>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</si>
  <si>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Facilities designed for industrial, storage, or medical purposes, except those in Class A.  FACs in 1000, 2000, 3000, 4000, and 5000 series.</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</si>
  <si>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</si>
  <si>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</si>
  <si>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</si>
  <si>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</si>
  <si>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</si>
  <si>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</si>
  <si>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</si>
  <si>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Wood or steel deck on steel floor joists, or concrete slab on grade</t>
  </si>
  <si>
    <t>Steel or wood deck on steel joists.</t>
  </si>
  <si>
    <t>Metal skin or sandwich panels. Generally incombustible.</t>
  </si>
  <si>
    <t>Facilities designed to protect from weather facilities used for utility or industrial purpose in the 8000 series. .</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</si>
  <si>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color theme="1"/>
        <rFont val="Calibri"/>
        <family val="2"/>
        <scheme val="minor"/>
      </rPr>
      <t>LOW COST /  AVERAGE / GOOD / EXCELLENT</t>
    </r>
    <r>
      <rPr>
        <sz val="11"/>
        <color theme="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 classify because their ideas of an average building are different.
Usually, in cities with strong building codes, the Average building is the standard code
building with some extra trim and refinements while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so that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</si>
  <si>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</si>
  <si>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</si>
  <si>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</si>
  <si>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</si>
  <si>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</si>
  <si>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t xml:space="preserve">Used only for prestige facilities in FACs 
5100 – hospital
6102 – Large Unit Headquarters
6105 – Pentagon
7386 – Ceremonial Hall
7440 - Comm Act/Conf Cntr
7601 – Museum 
</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</si>
  <si>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</si>
  <si>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r>
      <rPr>
        <b/>
        <sz val="11"/>
        <color theme="1"/>
        <rFont val="Calibri"/>
        <family val="2"/>
        <scheme val="minor"/>
      </rPr>
      <t>SUMMARY</t>
    </r>
    <r>
      <rPr>
        <sz val="11"/>
        <color theme="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</si>
  <si>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Foot Notes</t>
  </si>
  <si>
    <t xml:space="preserve">[1] The source of the class and quality of construction, above, is the Marshall &amp; Swift Valuation Service, Section 1, pages 4 – 10, January 2016.  </t>
  </si>
  <si>
    <t>[2] Section of FACs based upon structural design criteria.  See the following Unified Facilities Criteria:  UFC 3-301-01 Structural Engineering with Ch3 dated 9-12-16; UFC 3-320-06A  Concrete Floor Slabs on Grade Subjected to Heavy Loads dated 3-01-05; UFC 3-340-02 Structures to Resist the Effects of Accidental Explosions w/Ch2 dated 12-05-08.</t>
  </si>
  <si>
    <t>[3]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Updated:  06-14-2016.  See also "Seismic Rehabilitation of Federal Buildings: A Benefit/Cost Model," Federal Emergency Management, Agency (FEMA) 255,  01 September 1994, p 7-20.</t>
  </si>
  <si>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</si>
  <si>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</si>
  <si>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</si>
  <si>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</si>
  <si>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</si>
  <si>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 Pers per SF by Occupancy (Note 4)</t>
  </si>
  <si>
    <t>Max        Occupancy= CoL C /  Col I</t>
  </si>
  <si>
    <t># of Elevators (Rounded) (Note 6)</t>
  </si>
  <si>
    <t>I</t>
  </si>
  <si>
    <t>F</t>
  </si>
  <si>
    <t>W</t>
  </si>
  <si>
    <t>R</t>
  </si>
  <si>
    <t>M</t>
  </si>
  <si>
    <t>E</t>
  </si>
  <si>
    <t>IBC Occupancy Types from 2018 International Building Code, "Use and Occupancy Classification", Chapter 3</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</si>
  <si>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</si>
  <si>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</si>
  <si>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</si>
  <si>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t>Occupancy</t>
  </si>
  <si>
    <t>Requirement</t>
  </si>
  <si>
    <t>A (A-1,-3, -4)</t>
  </si>
  <si>
    <t>A-2</t>
  </si>
  <si>
    <t>Ambulatory Care</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</si>
  <si>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</si>
  <si>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</si>
  <si>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</si>
  <si>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</si>
  <si>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</si>
  <si>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</si>
  <si>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</si>
  <si>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</si>
  <si>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</si>
  <si>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</si>
  <si>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</si>
  <si>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</si>
  <si>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</si>
  <si>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o Ambulatory care facilities: Note – these are buildings or portions of buildings used for medical, surgical, psychiatric, nursing or similar care on a less than 24 hour basis to individuals who are rendered incapable of self-preservation by the services provided</t>
  </si>
  <si>
    <t>o Banks, electronic data processing</t>
  </si>
  <si>
    <t>o Laboratories for testing and research</t>
  </si>
  <si>
    <t>o Professional services (architects, engineers, attorneys, dentists, physicians, etc)</t>
  </si>
  <si>
    <t>o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</si>
  <si>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</si>
  <si>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</si>
  <si>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</si>
  <si>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</si>
  <si>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</si>
  <si>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</si>
  <si>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</si>
  <si>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</si>
  <si>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</si>
  <si>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</si>
  <si>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o Department stores</t>
  </si>
  <si>
    <t>o Drug stores</t>
  </si>
  <si>
    <t>o Markets</t>
  </si>
  <si>
    <t>o Motor fuel dispensing facilities</t>
  </si>
  <si>
    <t>o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</si>
  <si>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</si>
  <si>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</si>
  <si>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</si>
  <si>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</si>
  <si>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</si>
  <si>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</si>
  <si>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</si>
  <si>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</si>
  <si>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</si>
  <si>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</si>
  <si>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</si>
  <si>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Footnotes:</t>
  </si>
  <si>
    <t>2.  For H Occupancies, add extra hazard premium cost and early suppression system and early suppression pump</t>
  </si>
  <si>
    <t>Loading Dock Footnote</t>
  </si>
  <si>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</si>
  <si>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t> </t>
  </si>
  <si>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</si>
  <si>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</si>
  <si>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</si>
  <si>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</si>
  <si>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</si>
  <si>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</si>
  <si>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</si>
  <si>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</si>
  <si>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</si>
  <si>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</si>
  <si>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</si>
  <si>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</si>
  <si>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</si>
  <si>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</si>
  <si>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RUCs requiring an adjustment for inflation (USACE PAX) are inflated using  Table 4-2 of Unified Facilities Criteria (UFC) 3-701-1.  Historical inflation is calculated using DoD Selling Price Index (SPI) (Actual) inflation.  Future inflation is calculated using Under Secretary of Defense (USD) (Comptroller) guidance, dated 22 December 2017, "Revision to the Preliminary Inflation Guidance for FY 2019 Budget Submission."  Midpoint of construction for FY 2018 RUCs is set to 1 October 2017.  Appendix C of the PAX Newsletter is based on these same inflation numbers.</t>
  </si>
  <si>
    <t>Water Launch Ramp</t>
  </si>
  <si>
    <t>Slab on Grade, 12", Reinforced</t>
  </si>
  <si>
    <t>Concrete Waterproofing, Silicone Spray, 2 coats</t>
  </si>
  <si>
    <t>Piling, Steel Pipe, Concrete filled, 10", 8 Each</t>
  </si>
  <si>
    <t>General Admin Building, High-Rise</t>
  </si>
  <si>
    <t xml:space="preserve">*New FAC: No Inventory, Assumed size is 800,000 SF </t>
  </si>
  <si>
    <t>* Assumed Number of Stories = 15</t>
  </si>
  <si>
    <t>Office Building, Class A, Good</t>
  </si>
  <si>
    <t>Facilities designed to mitigate explosive overpressures, or high rises: FACs 1491, 2121, 2123, 2125, 2136, 2152, 2153, 2154, 2161,2162, 2163, 2211, 2221, 2251, 2252, 2261, 2262, 3151, 3161, 3181, 4212, 4231, 6107</t>
  </si>
  <si>
    <t>Multistory Premium; 1/2% for each story over 3</t>
  </si>
  <si>
    <t>Sprinkler, Wet System, 500,000 SF, Good</t>
  </si>
  <si>
    <t>GENERAL ADMIN BUILDING, HIGH-RISE</t>
  </si>
  <si>
    <t xml:space="preserve">No UFC criteria exist for component material.  The Marshall and Swift antenna valuation includes "concrete footings, erection, painting, guy wires, lighting, platforms, and designers’ fees."  </t>
  </si>
  <si>
    <t>Urban Cluster / Bank Barn, 2 Story (20' x 20'), Class D, Low Cost x 6 Buildings (Use Class C multiplier)</t>
  </si>
  <si>
    <t>Inflation Adjustment
by MILCON Index</t>
  </si>
  <si>
    <t>Sprinkler, Wet, 2,500 SF, Average</t>
  </si>
  <si>
    <t>Niche / CF</t>
  </si>
  <si>
    <t>Utility Piping, 4" Steel, 520 FT Total Length</t>
  </si>
  <si>
    <t>Tot to BH</t>
  </si>
  <si>
    <t>Valves, Steel, Heavy Duty, 4", 4 EA</t>
  </si>
  <si>
    <t xml:space="preserve">Army Regulation AR 215-1, “Military Morale, Welfare and Recreation Programs and Nonappropriated Fund Instrumentalities," Appendix E, "Construction Funding for Military Morale, Welfare, and Recreation Facilities," 31 July 2007.
IBC, International Code Council, 2018 edition;  Chapter 3, "Occupancy Classification."
IBC, Chapter 6, “Types of Construction.”
IBC, paragraph 903.2.1.2, "Group A-2 Automatic Sprinkler System."
</t>
  </si>
  <si>
    <t>Average Reference Size</t>
  </si>
  <si>
    <t>Space Modifier
(40 Spaces)</t>
  </si>
  <si>
    <t xml:space="preserve">FY2019 Replacement Unit Cost (RUC) Supporting Documentation  </t>
  </si>
  <si>
    <t xml:space="preserve">              RUCs are calculated or adjusted to 1 October 2018.</t>
  </si>
  <si>
    <t xml:space="preserve">Marshall and Swift Valuation,
October 2018 </t>
  </si>
  <si>
    <t>Marshall and Swift Valuation; October 2018</t>
  </si>
  <si>
    <t>Composite of Multiple FACs</t>
  </si>
  <si>
    <t>Marshall and Swift Valuation, October 2018</t>
  </si>
  <si>
    <r>
      <t>Marshall &amp; Swift Valuation, Octo</t>
    </r>
    <r>
      <rPr>
        <b/>
        <sz val="11"/>
        <color theme="1"/>
        <rFont val="Calibri"/>
        <family val="2"/>
        <scheme val="minor"/>
      </rPr>
      <t>ber 2018;</t>
    </r>
    <r>
      <rPr>
        <b/>
        <sz val="11"/>
        <rFont val="Calibri"/>
        <family val="2"/>
        <scheme val="minor"/>
      </rPr>
      <t xml:space="preserve">
TC 25-8 Training Ranges, 22 July 2016;
USACE Ranges and Training Land Program,
8 December 2014;
USACE PAX Newsletter 3.2.2, 30 May 2018</t>
    </r>
  </si>
  <si>
    <t xml:space="preserve">USACE PAX Newsletters 3.2.2;                                                          Marshall and Swift Valuation, October 2018  
</t>
  </si>
  <si>
    <t>USACE PAX Newsletter 3.2.2, 4 January 2011;                                             Navy Military Construction Program</t>
  </si>
  <si>
    <t>WHS MILCON Project Cost</t>
  </si>
  <si>
    <t>Divided by 2019 DoD ACF for Arlington, VA</t>
  </si>
  <si>
    <t>Armory, Class C, Average (similar in construction to utility building); note: Class C selected as most similar to M&amp;S Selection Business Rule Class B)</t>
  </si>
  <si>
    <t>Overhead door, Rollup, 8' X 10", 2 EA</t>
  </si>
  <si>
    <t>There is no inventory in 2018 RPAD for this FAC; assumed dimensions are 50' x 100'</t>
  </si>
  <si>
    <t xml:space="preserve">Berm, bulk excavation, medium earth, placed around each Quonset building (parabolic section (2/3 b*h) 60 FT long, 10 FT high, 8 EA = 3,216 CF) </t>
  </si>
  <si>
    <t>UFC 3-220-10N, "Soil Mechanics," 08 June 2005
UFC 3-201-01, "Civil Engineering," 01 April 2018, with Change 1, 19 March 2019
UFC 3-220-01, "Geotechnical Engineering," 1 November 2012, para. 2-3.11.2
UFC 3-600-01, "Fire Protection Engineering for Facilities," 08 August 2016 with Change 3, 10 May 2019</t>
  </si>
  <si>
    <t xml:space="preserve">The USACE HNC RTLP Fact Sheet, September 2018.
The USACE HNC RTLP, Program Information, https://www.hnc.usace.army.mil/Missions/Installation-Support-and-Programs-Management/Range-and-Training-Land-Program/Range-Design-Guide/.                                                                                                                                                                                                                                                                                                                                                                                  U.S. Army TC 25-8, "Training Ranges," 22 July 2016  
</t>
  </si>
  <si>
    <t xml:space="preserve">UFC 4-179-01, "Design: Navy Firefighting School Facilities," 16 January 2004
NFPA 1402, "Guide to Building Fire Service Training Centers," 2019 Edition
UFC 4-179-01, Appendix A, "MIL-HDBK 1027/1B, Firefighting School Facilitates," 31 January 1998
UFC 4-179-01, Appendix A, para 2.2.5, "Wastewater;" and Section 5, "Protection of the Environment"
</t>
  </si>
  <si>
    <t>Soil preparation, Fine grading running track, Average</t>
  </si>
  <si>
    <t>Industrial, Light Manufacturing, Class B, Average (Excellent rating not available) (Deduct $2.25/SF for no included elevator)</t>
  </si>
  <si>
    <t xml:space="preserve">UFC 4-211-01, "Aircraft Maintenance Hangars," 13 April 2017, with Change 1, 01 November 2017 (Section 3)
</t>
  </si>
  <si>
    <t xml:space="preserve">Unified Facilities Criteria (UFC) for Multi-Disciplinary and Facility Specific Design (UFC 3-101-01, Architecture; and, the UFC 4-200 Maintenance and Production Facilities series) do not provide guidance for this FAC.   </t>
  </si>
  <si>
    <t>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UFGS-11 13 19.13, "Loading Dock Levelers," 01 August 2009</t>
  </si>
  <si>
    <t>Table 2, UFC 3-701-1, Change 2, 28 May 2019</t>
  </si>
  <si>
    <t>Maintenance Hangar, Class C, Excellent (Class B not available), including craneway, no elevator</t>
  </si>
  <si>
    <t xml:space="preserve">UFC 4-211-01 design criteria calls for a 5-ton overhead bridge crane in Type I and Type IV hangars and a 7-ton crane in Type II hangars.  The craneway is included in the Marshall and Swift Class C/Excellent unit price.  A 10-ton bridge crane is included in the Replacement Unit Cost valuation.
</t>
  </si>
  <si>
    <t>Industrial, Heavy (Process) Manufacturing, Class A, Average, including craneway, HVAC and elevator (Deduct $2.36 for no elevator)</t>
  </si>
  <si>
    <t>NA;  GUCs are as of                      October 2018</t>
  </si>
  <si>
    <t>UFC 3-580-01, "Telecommunications Interior Infrastructure Planning and Design," 01 June 2016, with Change 1, 01 June 2016.</t>
  </si>
  <si>
    <t>UFC 3-600-01, "Fire Protection Engineering for Facilities," 08 August 2016, with Change 3, 10 May 2019.</t>
  </si>
  <si>
    <t>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UFGS-11 13 19.13, "Loading Dock Levelers," 01 August 2009.                                                                                                                                                                                                                                                                                                 IBC, 2018 Edition</t>
  </si>
  <si>
    <t>Loading dock (Shipping Dock), 2 EA @ 144 SF</t>
  </si>
  <si>
    <t xml:space="preserve">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NOVA Technology International, “Dock Planning Standards”, 2013
</t>
  </si>
  <si>
    <t>Industrials, Heavy (Process) Manufacturing Building, Class A, Average, includes craneway (Deduct $2.36 / SF for no included elevator)</t>
  </si>
  <si>
    <t xml:space="preserve">UFC 3-101-01, "Architecture," 28 November 2011, with Change 4, 06 March 2019.
UFC 4-200-xx (Series), Maintenance and Production Facilities, various dates.
</t>
  </si>
  <si>
    <t>Industrial Building, Light Manufacturing, Class B, Average, not including craneway (Deduct $2.25 / SF for no included elevator)</t>
  </si>
  <si>
    <t xml:space="preserve">The average size for this FAC is 2 EA (each) based on 3,230 records.  </t>
  </si>
  <si>
    <t>The average record size is 37 miles; 2018 RPAD has 3,307 records.</t>
  </si>
  <si>
    <t>NA;  GUCs are as of October 2018</t>
  </si>
  <si>
    <t xml:space="preserve">The average area of this FAC is 11,804 SF, based on 223 records.
The International Building Code Occupancy Group assigned is B, Business.
</t>
  </si>
  <si>
    <t xml:space="preserve">No UFC requirement exists for the incorporation of a loading dock
The average number of floors above ground is 1.09; applying the Elevator Business Rule, no elevator is incorporated. 
</t>
  </si>
  <si>
    <t>Average number of floors above/below ground are from the 2018 RPAD</t>
  </si>
  <si>
    <t xml:space="preserve">The average area of this FAC is 6,869 SF, based on 1,675 records.
The International Building Code (IBC) Occupancy Group assigned is B, Business.
</t>
  </si>
  <si>
    <t>UFC 4-440-01, "Warehouse and Storage Facilities," 01 October 2014, with Change 1, 1 April 2019
NFPA 13, "Standard for the Installation of Fire Sprinkler Systems," 2019
UFC 3-600-01, "Fire Protection Engineering for Facilities," 08 August 2016 with Change 3, 10 May 2019
Commercial Real Estate Development Association, NAIOP Research Foundation, “NAIOP Terms and Definitions;" https://www.naiop.org/en/Research/Terms-and-Definitions.                                                                                                                                                             IBC, 2018 edition</t>
  </si>
  <si>
    <t xml:space="preserve">The average area for this FAC is 12,474 SF.
The Occupancy Group assigned is B, Business.
</t>
  </si>
  <si>
    <t>USACE PAX Newsletter 3.2.2, 30 May 2019</t>
  </si>
  <si>
    <t>Table 2, UFC 3-701-1, Change 1, 23 May 2018</t>
  </si>
  <si>
    <t>NA; see explanation below</t>
  </si>
  <si>
    <t>Table 2, UFC 3-701-1, 23 May 2018;                           Table 2, UFC 3-701-1, Change 2, 28 May 2019</t>
  </si>
  <si>
    <t>PAX Newsletter 30 May 2019</t>
  </si>
  <si>
    <t>Escalation Rate for FY19 RUCs</t>
  </si>
  <si>
    <t>3:  Annual Inflation Guidance rates for miltary construction budget authority, published by the Under Secretary of Defense (USD) (Comptroller) on 4 January 2019, "Inflation Guidance for FY 2020 Budget Submission."</t>
  </si>
  <si>
    <t>Notes from Table 4-2/UFC 3-701-01, with Change 2, 30 May 2019, Military Construction Escalation Rates:</t>
  </si>
  <si>
    <t>Dependent School - CONUS</t>
  </si>
  <si>
    <t>Dependent Schools: K-12, CONUS</t>
  </si>
  <si>
    <t>Table 2, UFC 3-701-1, 28 May 2019</t>
  </si>
  <si>
    <t>Dependent Schools: K-12, OCONUS</t>
  </si>
  <si>
    <t>Per the Table 2 footnotes, DoDEA developed one price to be used on K-12 schools in the CONUS.</t>
  </si>
  <si>
    <r>
      <rPr>
        <b/>
        <sz val="11"/>
        <color theme="1"/>
        <rFont val="Calibri"/>
        <family val="2"/>
        <scheme val="minor"/>
      </rPr>
      <t>USACE PAX Newsletter 3.2.2, 30 May 2019;</t>
    </r>
    <r>
      <rPr>
        <b/>
        <sz val="11"/>
        <rFont val="Calibri"/>
        <family val="2"/>
        <scheme val="minor"/>
      </rPr>
      <t xml:space="preserve">
Marshall and Swift Valuation, October 2018</t>
    </r>
  </si>
  <si>
    <t>All areas above are gross size and derived from the 2018  Real Property Assets Database (RPAD)</t>
  </si>
  <si>
    <t>According to UFC 3-701-01, Section 2-2, "average unit costs for new construction [are] based on no less than three project awards per building type occurring since September 2014 for Army, Navy and Air Force ..." projects.  The normalized unit costs for each of these six FAC 1431 projects in the table below were averaged to obtain a more specific, modified GUC.  In the 2018  supporting data for Table 2, Unified Facilities Criteria (UFC) 3-701-1, 23 May 2018, there are three 2018 projects awarded in FAC 1431 / CATCODE 14341 (Amphibious Operations Building) of the eight projects that were used to develop the GUC for "Headquarters/Operations Buildings: Company Level (Lowest Level)," and one 2018 project in FAC 1431 / CATCODE 14365 (Operation Control Center) of the four projects that were used to develop the GUC for "Headquarters/Operations Buildings: Brigade/Division Wing HQS (Upper Level)."   In the 2019 supporting data for Table 2, Unified Facilities Criteria (UFC) 3-701-1, 28  May 2019, there is one 2019 project awarded in FAC 1431 / CATCODE 14341, and one project awarded in FAC 1431 / CATCODE 15964 (Waterfront Operation Building).</t>
  </si>
  <si>
    <t>Loading dock (Shipping Dock), 1 EA @ 144 SF</t>
  </si>
  <si>
    <t xml:space="preserve">The average area for this FAC is 10,334 SF.
The Occupancy Group assigned is B, Business.
</t>
  </si>
  <si>
    <t xml:space="preserve">The average area for this FAC is 16,155 SF.
The Occupancy Group assigned is F, Factory.
</t>
  </si>
  <si>
    <t xml:space="preserve">The average area for this FAC is 19,875 SF .
IBC Group B
</t>
  </si>
  <si>
    <t>Varies</t>
  </si>
  <si>
    <t xml:space="preserve">The average area for this FAC is 3589 SF.
IBC Group H, Hazard
</t>
  </si>
  <si>
    <t xml:space="preserve">The average area for this FAC is 74,599 SF.  
Classified as International Building Code (IBC) Group I (Institutional)
</t>
  </si>
  <si>
    <t>2019 Elevator Business Rule</t>
  </si>
  <si>
    <t xml:space="preserve">No UFC requirement exists for the incorporation of a loading dock.
The average number of floors is 1.52.  One (1) elevator has been included in the estimated cost in consonance with the Elevator Business Rule.
</t>
  </si>
  <si>
    <t>The average size for this FAC is 7 EA (each); 1,637 records)</t>
  </si>
  <si>
    <t>Tactical Vehicle Wash Facility</t>
  </si>
  <si>
    <t>Visitor Control Facility</t>
  </si>
  <si>
    <t>Monitoring Well</t>
  </si>
  <si>
    <t>Water Well, without pump, 130' deep, 5" casing,  Average</t>
  </si>
  <si>
    <t>MONITORING WELL</t>
  </si>
  <si>
    <t>USACE PAX Newsletter 3.2.2</t>
  </si>
  <si>
    <t>FAC 1499 is comprised primarily of three CATCODEs (3,300 total assets, with 1,895 assets in the two predominant CATCODEs): 
• Air Force 149411, Bunker; Army 14181, Safety Shelter; and Army 14925, Fighting Position/Bunker (839 assets)
• Army 14940, Tower; Air Force 149965, RADAR Tower; Air Force 149968, Special Tower; Air Force 872845, Security Guard Tower (1,056 assets) 
We deleted the Monitoring Well CATCODEs (Army 89210 and Air Force 892921) from this FAC and transferred that data to the new FAC 8840, Monitoring Well.</t>
  </si>
  <si>
    <t>RUC is based upon a study conducted for Commander, Navy Installations Command (CNIC) in FY2009, which appears below in full.   In the 2018 RPAD, there are 309 assets in FAC 1511, with an average size of 5,352 SY.</t>
  </si>
  <si>
    <t>Assumed Size of Boat/Seaplane Ramp = 2,500 SF</t>
  </si>
  <si>
    <t>Ship and boat docks, Medium, 4" Decking, Average piling, including fenders, railings, utilities, exclusive of buildings; Assume 500 SF</t>
  </si>
  <si>
    <t xml:space="preserve">USACE PAX Newsletter 3.2.2, 30 May 2019                                                         </t>
  </si>
  <si>
    <t>Range Classroom Building (USACE PAX Newsletter 3.2.2, 30 May 2019)</t>
  </si>
  <si>
    <t xml:space="preserve">USACE PAX Newsletter 3.2.2, 30 May 2019                                                 </t>
  </si>
  <si>
    <t xml:space="preserve">USACE PAX Newsletter 3.2.2, 30 May 2019                                                        </t>
  </si>
  <si>
    <t>Control Tower - open observation deck (w/o instrumentation)</t>
  </si>
  <si>
    <t>Structure, Reinforced concrete (Armory, Class CDS) 12 EA, 1,800 SF</t>
  </si>
  <si>
    <r>
      <t>Marshall &amp; Swift Valuation, Octo</t>
    </r>
    <r>
      <rPr>
        <b/>
        <sz val="11"/>
        <color theme="1"/>
        <rFont val="Calibri"/>
        <family val="2"/>
        <scheme val="minor"/>
      </rPr>
      <t>ber 2018;</t>
    </r>
    <r>
      <rPr>
        <b/>
        <sz val="11"/>
        <rFont val="Calibri"/>
        <family val="2"/>
        <scheme val="minor"/>
      </rPr>
      <t xml:space="preserve">
TC 25-8 Training Ranges, 22 July 2016;
USACE Ranges and Training Land Program,
8 December 2014;
USACE PAX Newsletter 3.2.2, 30 May 2019</t>
    </r>
  </si>
  <si>
    <r>
      <t xml:space="preserve">Marshall &amp; Swift Valuation, </t>
    </r>
    <r>
      <rPr>
        <b/>
        <sz val="11"/>
        <color theme="1"/>
        <rFont val="Calibri"/>
        <family val="2"/>
        <scheme val="minor"/>
      </rPr>
      <t>October 2018;</t>
    </r>
    <r>
      <rPr>
        <b/>
        <sz val="11"/>
        <rFont val="Calibri"/>
        <family val="2"/>
        <scheme val="minor"/>
      </rPr>
      <t xml:space="preserve">
TC 25-8 Training Ranges, 22 July 2016;
USACE Ranges and Training Land Program,
8 December 2014;
USACE PAX Newsletter 3.2.2, 30 May 2019</t>
    </r>
  </si>
  <si>
    <r>
      <t xml:space="preserve">TC 25-8 Training Ranges, 22 July </t>
    </r>
    <r>
      <rPr>
        <b/>
        <sz val="11"/>
        <color theme="1"/>
        <rFont val="Calibri"/>
        <family val="2"/>
        <scheme val="minor"/>
      </rPr>
      <t>2016</t>
    </r>
    <r>
      <rPr>
        <b/>
        <sz val="11"/>
        <rFont val="Calibri"/>
        <family val="2"/>
        <scheme val="minor"/>
      </rPr>
      <t>;
USACE Ranges and Training Land Program,
8 December 2014;
USACE PAX Newsletter 3.2.2, 30 May 2019</t>
    </r>
  </si>
  <si>
    <t>TC 25-8 Training Ranges, 22 July 2016;
USACE Ranges and Training Land Program,
8 December 2014;
USACE PAX Newsletter 3.2.2, 30 May 2019</t>
  </si>
  <si>
    <r>
      <t>Marshall &amp; Swift Valuation, Octobe</t>
    </r>
    <r>
      <rPr>
        <b/>
        <sz val="11"/>
        <color theme="1"/>
        <rFont val="Calibri"/>
        <family val="2"/>
        <scheme val="minor"/>
      </rPr>
      <t>r 2018;</t>
    </r>
    <r>
      <rPr>
        <b/>
        <sz val="11"/>
        <rFont val="Calibri"/>
        <family val="2"/>
        <scheme val="minor"/>
      </rPr>
      <t xml:space="preserve">
TC 25-8 Training Ranges, 22 July 2016;
USACE Ranges and Training Land Program,
 8 December 2014;
PAX Newsletter 3.2.2,30 May 2019</t>
    </r>
  </si>
  <si>
    <t xml:space="preserve">• The unit of measure is LN, lane.  
• Size is per design found in TC 25-8.  The design calls for a standard 2 LNs per range.  Although the average of the records is 3.2, there can be no ‘fractional’ lanes. 
• There are 32 FAC 1762 records, ranging in size from 1 to 10 lanes (LN).  </t>
  </si>
  <si>
    <t xml:space="preserve">U.S. Army TC 3-22.19, Grenade Machine Gun MK 19 MOD 3, 10 May 2017..
USACE HNC RTLP, Program Information, Fire Detection and Protection, page 1/1, 23 May 2005.
USACE PAX newsletter 3.2.2, Army Facilities Pricing Guide, 30 May 2019                                                                                                                                                                                                                                                  U.S. Army TC 25-8, "Training Ranges," 22 July 2016  </t>
  </si>
  <si>
    <r>
      <t>Marshall &amp; Swift Valuation, Octob</t>
    </r>
    <r>
      <rPr>
        <b/>
        <sz val="11"/>
        <color theme="1"/>
        <rFont val="Calibri"/>
        <family val="2"/>
        <scheme val="minor"/>
      </rPr>
      <t>er 2018</t>
    </r>
    <r>
      <rPr>
        <b/>
        <sz val="11"/>
        <rFont val="Calibri"/>
        <family val="2"/>
        <scheme val="minor"/>
      </rPr>
      <t>;
TC 25-8 Training Ranges, 22 July 2016;
USACE Ranges and Training Land Program,
 8 December 2014;
USACE PAX Newsletter 3.2.2, 30 May 2019</t>
    </r>
  </si>
  <si>
    <t>FAC 1790 is a collection of 76 CATCODEs.  Components for this model represent an average of these facilities.</t>
  </si>
  <si>
    <t>Marshall and Swift Valuation, October 2018;
USACE PAX Newsletter 3.2.2, 30 May 2019</t>
  </si>
  <si>
    <t>11,305 SF</t>
  </si>
  <si>
    <t>Average size extracted from 2018 RPAD Facility Table; average length = 133 LF; average width = 85 LF.</t>
  </si>
  <si>
    <t>Industrial, Heavy (Process) Manufacturing, Class A, Average, including craneway, HVAC and elevator  (Deduct $2.36 / SF for no included elevator)</t>
  </si>
  <si>
    <t>Industrial, Heavy (Process) Manufacturing, Class A, Average, including craneway, HVAC and elevator (Deduct $2.36 for no included elevator)</t>
  </si>
  <si>
    <t>H</t>
  </si>
  <si>
    <t>Col            (E+F) -1</t>
  </si>
  <si>
    <t>Col G/   (Col E+F)</t>
  </si>
  <si>
    <t xml:space="preserve">Col I * Col J = # of Passengers </t>
  </si>
  <si>
    <t>Col J/200 Passengers per car  =   #  of Elevators (Note 5)</t>
  </si>
  <si>
    <t>Aircraft Maintenance Hanger, General Purpose (USACE PAX Newsletter, 30 May 2019)</t>
  </si>
  <si>
    <t>Aircraft Maintenance Hanger, General Purpose (USACE PAX Newsletter, 30  May 2019)</t>
  </si>
  <si>
    <t>NA;  GUC is as of October 2018</t>
  </si>
  <si>
    <t>N/A; GUC is as of October 2018</t>
  </si>
  <si>
    <r>
      <rPr>
        <sz val="11"/>
        <color theme="1"/>
        <rFont val="Calibri"/>
        <family val="2"/>
        <scheme val="minor"/>
      </rPr>
      <t>The average area for this FAC is 31,316 SF.</t>
    </r>
    <r>
      <rPr>
        <sz val="11"/>
        <rFont val="Calibri"/>
        <family val="2"/>
        <scheme val="minor"/>
      </rPr>
      <t xml:space="preserve">
The Occupancy Group assigned is B, Business.
</t>
    </r>
  </si>
  <si>
    <t xml:space="preserve">No UFC criteria exist for component material.  
Applying the Marshall and Swift Selection Business Rule, the FAC is  Marshall &amp; Swift Class B, Average Quality.
</t>
  </si>
  <si>
    <t>Average number of floors above ground = 1.13 (64 records in the 2018 RPAD)</t>
  </si>
  <si>
    <t xml:space="preserve">The average area for this FAC is 9,677 SF.
The building use category is H, Hazardous
</t>
  </si>
  <si>
    <t xml:space="preserve"> BIOSAFTY LEVEL 3 LABORATORY</t>
  </si>
  <si>
    <t>Cost from MILCON project P-670, Construct Jet Engine Test Cell, MCAS New River, FY-08.
Area Cost Factor derived from UFC 3-701-01, Change 2, 2019 Data Tables, Table 4-1, 28 May 2019</t>
  </si>
  <si>
    <t>RPAD Average Size from 2018 RPAD average facility dimensions (120 ' by 262'); 14 Asset Allocations.</t>
  </si>
  <si>
    <t xml:space="preserve">There are 333 FAC 1796 records, with an average size of 67,820 SF.  
This FAC aggregates six (1 AF, 4 Army, and 1 Navy) category codes.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</si>
  <si>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USACE PAX Newsletter 3.2.2,  30 May 2019</t>
  </si>
  <si>
    <t>Average Facility Size derived from 2018 RPAD (201 Asset Allocations):  [184 FT x 69 FT]/ 9 SF/SY)</t>
  </si>
  <si>
    <t>Marshall and Swift Valuation, October 2019</t>
  </si>
  <si>
    <t xml:space="preserve">EA </t>
  </si>
  <si>
    <t>65/10</t>
  </si>
  <si>
    <t xml:space="preserve">EA to SF </t>
  </si>
  <si>
    <t xml:space="preserve">Sprinkler, Wet System, Average, 15,000 SF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</si>
  <si>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</si>
  <si>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 xml:space="preserve">RUC is based upon a study conducted for Commander, Naval Installations command (CNIC) in FY 2011, which appears below in full.    </t>
  </si>
  <si>
    <t xml:space="preserve">No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commercial “Dock Planning Standards." 
The average number of floors is 2.22 yielding 1 elevator for the maximum number of occupants applying  the Elevator Business Rule.  
The Marshall and Swift building selected for this FAC includes elevators as part of the unit price.
</t>
  </si>
  <si>
    <t>Maintenance Shops: Military Vehicle Maintenance, Small              (&lt; 21,000 SF)</t>
  </si>
  <si>
    <t>Maintenance Shops: Military Vehicle Maintenance, Large            (&gt; 21,000 SF)</t>
  </si>
  <si>
    <t>Maintenance Shops: Military Vehicle Maintenance, Small                 (&lt; 21,000 SF)</t>
  </si>
  <si>
    <t xml:space="preserve">The average size of this FAC is 14,154 SF. </t>
  </si>
  <si>
    <t>Reservoir, Cut and Fill, Concrete</t>
  </si>
  <si>
    <t>The average quantity for this FAC is 463,495 GA (gallons).  There are 3,471 records in the 2018 RPAD.
This FAC does not represent a building and therefore has no International Building Code Occupancy Group.</t>
  </si>
  <si>
    <t>Note: crane aspect ratio = 1:2; building is approximately 75 LF x 150 LF</t>
  </si>
  <si>
    <t xml:space="preserve">The average area for this FAC is 5,448 SF.
The Occupancy Group assigned is H, Hazard.
</t>
  </si>
  <si>
    <t xml:space="preserve">No UFC requirement exists for the incorporation of a loading dock.  Because of the nature of maintenance and assembly work, a loading dock has been included.
The average number of floors is 1.03 yielding 0 elevators for the maximum number of occupants applying  the Elevator Business Rule.  
</t>
  </si>
  <si>
    <t>Note: crane aspect ratio = 1:2; building is approx. 152 FT  x 307 FT</t>
  </si>
  <si>
    <t>Bridge Crane, 75' span, 10 Ton capacity, 2 EA</t>
  </si>
  <si>
    <t>23 of 27 active assets in inventory are antenna / collimation towers</t>
  </si>
  <si>
    <t xml:space="preserve">The average area of this FAC is 5,738 SF.
The International Building Code Occupancy Group assigned is F, Factory.
</t>
  </si>
  <si>
    <t>Sprinkler, 100,000 SF, Dry System, Average</t>
  </si>
  <si>
    <t xml:space="preserve">The average area for this FAC is 111399 SF.
The Occupancy Group assigned is F, Factory.
</t>
  </si>
  <si>
    <t>Note:  Crane bay dimension assumed aspect ratio 1:2, 78'x156'; see Overhead Crane Business Rule tab</t>
  </si>
  <si>
    <t>Industrial, Heavy (Process) Manufacturing, Class A, Average, including HVAC and craneway (Deduct $2.36 / SF for no included elevator)</t>
  </si>
  <si>
    <t>Industrial, Engineering Building, Class B, Excellent, including elevator (Deduct $3.89 / SF for no included elevator)</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</si>
  <si>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</si>
  <si>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1.  International Building Code, Chapter 9, Section 903, International Code Council, 2018</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</si>
  <si>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</si>
  <si>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</si>
  <si>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</si>
  <si>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&gt;12,000 SF</t>
  </si>
  <si>
    <t>&gt;5,000 SF</t>
  </si>
  <si>
    <t>&gt;5,000 SF or Occupant load &gt;100 or fire area on a floor other than level of discharge</t>
  </si>
  <si>
    <t>4 or more  patients incapable of self-preservation</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</si>
  <si>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</si>
  <si>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</si>
  <si>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 xml:space="preserve">The average area for this FAC is 10,918 SF.
The Occupancy Group assigned is H, Hazard.
</t>
  </si>
  <si>
    <t xml:space="preserve">The average area for this FAC is 11,725 SF.
The Occupancy Group assigned is H, Hazard.
</t>
  </si>
  <si>
    <t xml:space="preserve">The average area for this FAC is 35,819 SF.
The Occupancy Group assigned is H, High Hazard.
</t>
  </si>
  <si>
    <t>Bridge Crane, 10 ton, span = 75 ft (2 EA)</t>
  </si>
  <si>
    <t>Industrials, Heavy (Process) Manufacturing Building, Class A, Average, includes craneway (Deduct $2.36 from cost for no included elevator)</t>
  </si>
  <si>
    <t>Industrials, Heavy (Process) Manufacturing, Class B, Average, including HVAC and craneway (Deduct $2.36 / SF for no included elevator)</t>
  </si>
  <si>
    <t>Two overhead cranes are provided, applying the Overhead Crane Business Rule; both cranes ride on one craneway.   A craneway is included in the building's unit cost.  Aspect ratio is 226 FT X 452 FT</t>
  </si>
  <si>
    <t>Note: crane bay dimension assumed aspect ratio 1:2: 115 FT x 230 FT</t>
  </si>
  <si>
    <t>Note: crane bay dimension assumed aspect ratio 179 FT x 359 FT; two crane beams assumed on one set of rails</t>
  </si>
  <si>
    <t>Industrials, Heavy (Process) Manufacturing, Class A, Average, including craneway (Deduct $2.36 / SF for no included elevator)</t>
  </si>
  <si>
    <t>Sprinkler, Dry System, 80,000 SF, Average</t>
  </si>
  <si>
    <t>Industrials, Heavy (Process) Manufacturing, Class C Mill, Average (Deduct $2.36 for no included elevator)</t>
  </si>
  <si>
    <t>Industrials, Heavy (Process) Manufacturing, Class A, Average, including craneway and elevator (Deduct $2.88 for no included elevator)</t>
  </si>
  <si>
    <t>No assets</t>
  </si>
  <si>
    <t>Note: crane bay dimension assumed aspect ratio 57 FT x 114 FT</t>
  </si>
  <si>
    <t xml:space="preserve">Average size derived from RPAD Facility Table (159,378 SF)  </t>
  </si>
  <si>
    <t xml:space="preserve">Seven Assets in the 2018 RPAD, all are burn pads (3) or range holding areas (4).  </t>
  </si>
  <si>
    <t xml:space="preserve">Industrials, Light Manufacturing, Class B, Average, including elevator; no craneway included (Deduct $2.25 for no included elevator) </t>
  </si>
  <si>
    <t>Bridge Crane, 10 Ton capacity, 50 FT span, 1 EA</t>
  </si>
  <si>
    <t>Inflation Adjustment - MILCON Index</t>
  </si>
  <si>
    <t>T/HR</t>
  </si>
  <si>
    <t>Asphalt Plant, assume 180 tons / hour (T/HR) production rate (Class Average)</t>
  </si>
  <si>
    <t>HVAC for Labs, Moderate Climate, Average</t>
  </si>
  <si>
    <t xml:space="preserve">The average area for this FAC is 36,335 SF
IBC Group B
</t>
  </si>
  <si>
    <t>Overhead door, roll-up, 9'x9' door, 81 SF/door, 3 EA</t>
  </si>
  <si>
    <t>Overhead door electric operator, 3 EA</t>
  </si>
  <si>
    <t>Craneway, 207 LF x 2 = 414 LF</t>
  </si>
  <si>
    <t>Bridge Crane, 10 ton, span = 75 LF (Note), 2 EA</t>
  </si>
  <si>
    <t>Dock bumpers, 10 lf, 3 EA</t>
  </si>
  <si>
    <t>Dock seal, 10" projection, 3 EA</t>
  </si>
  <si>
    <t>Bridge Crane, 10 ton, span = 75 LF</t>
  </si>
  <si>
    <t>Craneway, 10 Ton, 122 LF x 2 = 244 LF</t>
  </si>
  <si>
    <t>Bridge Crane, 10 Ton, 1 EA, Span = 50 FT</t>
  </si>
  <si>
    <t>Bridge Crane, 10 Ton, Span = 30 FT</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</si>
  <si>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1.38, yielding 0 elevators for the maximum number of occupants applying  the Elevator Business Rule.  
</t>
  </si>
  <si>
    <t>Dock bumpers, 10 LF, 2 EA</t>
  </si>
  <si>
    <t>Dock bumpers, 10 LF, 1 set</t>
  </si>
  <si>
    <t>Overhead door roll-up, std. 9'x9' = 81 SF</t>
  </si>
  <si>
    <t>Dock bumpers, 10 lf, 1 EA</t>
  </si>
  <si>
    <t>Craneway, 10 Ton, 100 FT x 2 = 200 FT</t>
  </si>
  <si>
    <t>Mission Command Training Center (USACE PAX Newsletter 3.2.2, 30 May 2019)</t>
  </si>
  <si>
    <t>Communications Facility (Marshall and Swift Valuation, October 2018)</t>
  </si>
  <si>
    <t>Communications Facility (Marshall and Swift / October 2018)</t>
  </si>
  <si>
    <t>36 assets in the 2018 RPAD; average size 1,320 SF (147 SY)</t>
  </si>
  <si>
    <t>Above Ground Fuel Storage, 1,000 GA, double wall</t>
  </si>
  <si>
    <t>Water Well, w/o pump, 130' deep, 5" casing, assume 2 monitoring wells</t>
  </si>
  <si>
    <t>Average Floors above ground for FAC 4212 is 1, based on 171 records in the 2018 RPAD (all CATCODE 42182).</t>
  </si>
  <si>
    <t>Sprinkler, dry, 20,000 SF, Average</t>
  </si>
  <si>
    <t xml:space="preserve">The average area for this FAC is 1,744 SY based on 1,701 records.  
</t>
  </si>
  <si>
    <t>Sprinkler, dry, 10,000 SF, average</t>
  </si>
  <si>
    <r>
      <t xml:space="preserve">Unified Facilities Criteria (UFC) 4-440-01 sets a requirement for loading docks.  The number of truck docks is calculated by a consideration of number of trucks arriving and loading/unloading time for the specific design. </t>
    </r>
    <r>
      <rPr>
        <sz val="11"/>
        <color theme="1"/>
        <rFont val="Calibri"/>
        <family val="2"/>
        <scheme val="minor"/>
      </rPr>
      <t>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color rgb="FFFF0000"/>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</si>
  <si>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(Use same unit cost as CATCODE 21470, Hazardous Waste Storage -  TEMF)</t>
  </si>
  <si>
    <t xml:space="preserve">Marshall and Swift Valuation, October 2018 </t>
  </si>
  <si>
    <t xml:space="preserve">UFC 4-440-01 sets a requirement for loading docks.   A reasonable assumption is to include a loading dock based upon the function of this FAC.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6 loading dock assemblies are provided.  An elevator is not provided as the average number of floors is 1.04; applying the Elevator Business Rule, no elevator is incorporated. 
</t>
  </si>
  <si>
    <t>Sprinkler, Dry System, 20,000K SF, Average</t>
  </si>
  <si>
    <t>Class B Facility selected for MSV current cost and local multipliers.</t>
  </si>
  <si>
    <t>Average number of floors above ground is 1.05, based on 2018 RPAD.</t>
  </si>
  <si>
    <t>Average number of floors above ground = 1.08</t>
  </si>
  <si>
    <t>Class B Facility selected for M&amp;S current cost and local multipliers.</t>
  </si>
  <si>
    <t>NA;  GUCs are as of                      October, 2018</t>
  </si>
  <si>
    <t>Table 2, UFC 3-701-1, 28 May 2019; 
USACE PAX Newsletter 3.2.2, 20 March 2009</t>
  </si>
  <si>
    <t>Senior NCO, Grade E7&amp;E8, 3 Bedrooms</t>
  </si>
  <si>
    <t>No assets in the 2018 RPAD</t>
  </si>
  <si>
    <t>Sprinkler, 2000 SF, Wet System, Average</t>
  </si>
  <si>
    <t>Sprinkler, Wet System, average, 75,000 SF</t>
  </si>
  <si>
    <t>Overhead door, roll-up, 81 SF/door (9' X 9'), 2 EA</t>
  </si>
  <si>
    <t>Dormitory, Class C, Average, including elevator (Deduct $4.28/SF for no included elevator)</t>
  </si>
  <si>
    <t>Parking Garage (450 SF/vehicle, including turning space and ramps)</t>
  </si>
  <si>
    <t>Assumed Size: 20 FT x 10 FT</t>
  </si>
  <si>
    <t>Overhead door, Rollup, Manual Operation, 81 SF/door</t>
  </si>
  <si>
    <t xml:space="preserve">No elevators have been included in consonance with the Elevator Business Rule.  The average number of stories for this FAC is 1.26.
The ACA Design Guide identifies the incorporation of a truck loading dock for use by the maintenance department, for supplies deliveries and sanitation (laundry) .
</t>
  </si>
  <si>
    <t xml:space="preserve">No UFC requirement exists for the incorporation of a loading dock.
The average number of floors is 1.23.   
No elevator has been included in the estimated cost in consonance with the Elevator Business Rule.
</t>
  </si>
  <si>
    <t xml:space="preserve">Although no design criteria requires the incorporation of a loading dock, the likelihood of food deliveries drives the additional of one dock in the RUC calculation.
Two elevators (one passenger, one freight) are provided in consonance with the Elevator Business Rule.
</t>
  </si>
  <si>
    <t xml:space="preserve">Central laundry and dry cleaning plant, average cost </t>
  </si>
  <si>
    <t>Loading Dock Roof, Good canopy structure with lighting and finished soffit, Assume 15 FT x 30 FT</t>
  </si>
  <si>
    <t>Sprinkler, 20,000 SF, Wet System, Average</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</si>
  <si>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Average number of floors above ground is 1.21.
</t>
  </si>
  <si>
    <t>Bank - Branches, Class C, Average, including elevator (Deduct $2.46/SF for no included elevator)</t>
  </si>
  <si>
    <t>b</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</si>
  <si>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One (1) elevator is provided in consonance with the Elevator Business Rules.  Average number of floors above ground is 1.23.</t>
  </si>
  <si>
    <t xml:space="preserve">IBC, Chapter 6 “Types of Construction”, International Code Council, 2018.
Commercial Real Estate Development Association, NAIOP Research Foundation, “NAIOP Terms and Definitions: North American Office and Industrial Market, pg. 12.
Unified Facility Guide Specification, UFGS-11 13 19.13,  August 2009, with Change 1, May 2019.
</t>
  </si>
  <si>
    <t>Sprinkler, Wet System, Average, 15,000 SF</t>
  </si>
  <si>
    <t>Dependent School: Average CONUS and OCONUS</t>
  </si>
  <si>
    <t xml:space="preserve">UFC 3-600-01, Fire Protection Engineering for Facilities,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RUC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19/139 = 13.67% 
</t>
  </si>
  <si>
    <t xml:space="preserve">UFC 3-600-01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RUC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95/251 = 37.85% 
</t>
  </si>
  <si>
    <t>Search Area Canopy -Truck (Newsletter, 5 May 2013)</t>
  </si>
  <si>
    <t>POV Search Canopy (Newsletter, 30 May 2019)</t>
  </si>
  <si>
    <t xml:space="preserve">UFC 3-600-01, Fire Protection Engineering for Facilities, requires compliance with National Fire Protection Association (NFPA) Life Safety Code, NFPA Publication 101, for assembly occupancies.  NFPA 101, Section 14.3.5.1, requires new Group A occupancies, in which FAC 7113 is categorized, to be fully sprinklered in all fire areas exceeding 12,000 SF.  This same requirement exists in the International Building Code (IBC), Section 903.2.1.3, governing Occupancy Group A (assembly, A-3 intended for worship, recreation or amusement uses).   The RUC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305/1166, or 26.16%. 
</t>
  </si>
  <si>
    <t>Boat Storage Building, Class S (substitute for C), Average</t>
  </si>
  <si>
    <t>Sprinkler, 5,000 SF wet, average</t>
  </si>
  <si>
    <t>Outdoor Kennel Run, 4.67 per SF (Wire Mesh on Steel Posts [Wall Area]),  20 Ft *40 FT Enclosure, 8 FT high, 960 SF</t>
  </si>
  <si>
    <t>Decking, 11,238 SF, 4" concrete, unreinforced</t>
  </si>
  <si>
    <t>Tennis Court, 7200 SF (with apron), concrete, net, striping</t>
  </si>
  <si>
    <t>Synthetic Basketball Court  (94 FT x 50 FT' with a 10 FT apron)</t>
  </si>
  <si>
    <t># of Spaces Modifier (40 Spaces)</t>
  </si>
  <si>
    <t>Goal posts, per pair</t>
  </si>
  <si>
    <t>Total for football</t>
  </si>
  <si>
    <t xml:space="preserve">Material guidance is provided in the referenced UFC and in the following Unified Facilities Guide Specification (UFGS): UFGS 11 68 13, Playground Equipment; UFGS 32 18 16.13, Playground Protective Surfacing; UFGS 32 31 13, Chain Link Fences and Gates; UFGS 32 92 19, Seeding; and, UFGS 32 93 00, Exterior Plants.
</t>
  </si>
  <si>
    <t>The average quantity for this FAC is 1.42 EA.
This FAC does not represent a building and therefore has no International Building Code Occupancy Group.</t>
  </si>
  <si>
    <t xml:space="preserve">UFC 4-750-02N, “Design: Outdoor Sports and Recreation Facilities,” 4 December 2003 
UFC 4-750-16, “Design: Military Recreation Centers,” 25 May 2005
UFGS 11 68 13, “Playground Equipment,” August 2017 
UFGS 32 18 16.13, “Playground Protective Surfacing,” August 2017
UFGS 32 31 13, “Chain Link Fences and Gates," November 2016, with Change 1, May 17
UFGS 32 92 19, “Seeding,” August 2017
UFGS 32 93 00, “Exterior Plants,” August 2017 
Jogging Trail Design size 10,560 ft x 6 ft
FAC 7542 has 2,443 records, of which 1,362 are Air Force; 116 are Navy; and, 965 are Army.
Facility sizes taken from UFC 4-750-02N.
</t>
  </si>
  <si>
    <r>
      <t>H-Frame Distribution Lines, 15-69 KV, Short Lines with Cross Arms and</t>
    </r>
    <r>
      <rPr>
        <sz val="11"/>
        <color rgb="FFFF0000"/>
        <rFont val="Calibri"/>
        <family val="2"/>
        <scheme val="minor"/>
      </rPr>
      <t xml:space="preserve"> </t>
    </r>
    <r>
      <rPr>
        <sz val="11"/>
        <color theme="1"/>
        <rFont val="Calibri"/>
        <family val="2"/>
        <scheme val="minor"/>
      </rPr>
      <t>Insulators</t>
    </r>
  </si>
  <si>
    <t>USACE PAX Newsletter 3.2.2; 30 May 2019</t>
  </si>
  <si>
    <t>Transformer, 500 kVA, OIL FILLED, 15 kV W/ TAPS, 480 V SECONDARY 3 PHASE</t>
  </si>
  <si>
    <t>Transformer, 1,000 kVA, OIL FILLED, 15 kV W/ TAPS, 480 V SECONDARY, 3 PHASE</t>
  </si>
  <si>
    <t>Transformer, 2,000 KVA, OIL FILLED, 15 kV W/ TAPS, 480 V SECONDARY, 3 PHASE</t>
  </si>
  <si>
    <t>By FAC definition, "EA" refers to 1 pole/support structure within a lightning protection system.  Assume Poles are 40' tall.</t>
  </si>
  <si>
    <t>Cable, Lightning Protection, 80 FT</t>
  </si>
  <si>
    <t>Note: Cost per BHP scaled using Marshall and Swift sample cost for 1000 and 6000 HP boilers at Section 62/1</t>
  </si>
  <si>
    <t xml:space="preserve">Unified Facilities Criteria (UFC) 3-401-01, "Mechanical Engineering," provides general guidance for the application of mechanical engineering principles for the selection and design of refrigeration and air conditioning systems.
Unified Facilities Guide Specifications (UFGS) provide guidance for reciprocating, absorption, vapor compression, and centrifugal  chillers.  
UFC 4-826-10, "Design: Refrigeration Systems for Cold Storage," provides design guidance for cold storage refrigeration systems.  
</t>
  </si>
  <si>
    <t xml:space="preserve">The average quantity for this FAC is 477 TR (tons of refrigeration).  
This FAC does not represent a building and therefore has no International Building Code Occupancy Group.
</t>
  </si>
  <si>
    <t xml:space="preserve">Unified Facilities Criteria UFC 3-401-01 “Mechanical Engineering” of 1 July 2013 with Change 1, October 2015
Unified Facilities Guide Specification Section 42.22.16.00.40, “Reciprocating Process Chillers and Coolers,” 01 May 2017
Unified Facilities Guide Specification Section 23.64.00, “Packaged Water Chillers, Absorption Type,” November 2016
Unified Facilities Guide Specification Section 23.64.10, “Water Chillers, Vapor Compression Type,” November 2016
Unified Facilities Guide Specification Section 42.22.13.00.40, “Centrifugal Process Chillers and Coolers,” 01 August 2017
Unified Facilities Criteria UFC 4-826-10 “Design: Refrigeration Systems for Cold Storage”, 10 July 2002
Unified Facilities Criteria UFC 3-600-01 of 8 August 2016 with Change 3, 10 May 2019
National Fire Protection Association 850, Recommended Practice for Fire Protection for Electrical Generating Plants and High Voltage D Converter Stations, 6.6.1, 2015. 
</t>
  </si>
  <si>
    <t>Valve steel, general duty, 6", 1 per 316 FT block</t>
  </si>
  <si>
    <t xml:space="preserve">The average quantity for this FAC is 1,341 KG (thousands of gallons per day).  The standard industry unit of measure is MGD, millions of gallons per day.  
This FAC does not represent a building and therefore has no International Building Code Occupancy Group.
</t>
  </si>
  <si>
    <t>UFC 3-240-02, “Domestic Wastewater Treatment”, 1 November 2012
UFGS 46 20 20, “Sewage Bar Screen and Mechanical Shredder," February 2011
UFGS 46 30 13, “Advanced Oxidation Processes (AOP),” February 2011 
UFGS 46 43 21, “Circular Clarifier Equipment," February 2011, with Change 2, February 2013
UFGS 46 61 00, “Filtration Equipment," February 2011, with Change 1, August 2014
UFGS  46 73 00.35, “Sludge-Digester Gas, Heating and Mixing System," February 2011, with Change 1, August 2014 (Archived - no replacement)
UFGS 46 73 10, “Floating Cover for Sludge-Digestion Tanks,” February 2011 (Archived - no replacement)</t>
  </si>
  <si>
    <t>Sewer main, 9 FT Average depth, 8 IN plastic pipe</t>
  </si>
  <si>
    <t>Sewer clean outs, 60 FT o.c., EA</t>
  </si>
  <si>
    <t>Sewer manholes, 400 FT o.c., EA</t>
  </si>
  <si>
    <t>60 FT o.c.</t>
  </si>
  <si>
    <t>400 FT o.c.</t>
  </si>
  <si>
    <t>Sewer lateral, 5 FT average depth, 6 IN vitrified clay</t>
  </si>
  <si>
    <t xml:space="preserve">UFC 3-240-01, “Wastewater Collection”, 1 November 2012, with Change 2, 1 January 2019.
UFGS 33 30 00 “Sanitary Sewerage,” May 2018.
ASCE MOP 60, "Gravity Sanitary Sewer Design and Construction," 2nd Edition, January 1, 2007.
</t>
  </si>
  <si>
    <t>Average facility size is 737 SF derived from 2018 RPAD Facility Table (Average size:  34.4 FT x 21.4 FT)</t>
  </si>
  <si>
    <t>Incinerator, 2000 LB/HR extrapolated</t>
  </si>
  <si>
    <t>FT to TH</t>
  </si>
  <si>
    <t xml:space="preserve">Cost from MILCON project P-1353 Construct Landfill, Camp Lejeune, FY2014.
Area Cost Factor (0.96) derived from USACE PAX 3.2.1 Area Cost Factors, 16 May 2019.
The construction cost of a hazardous waste landfill is equal to sanitary landfill as requirements are essentially identical, although operations costs differ.  The distinction between designs for hazardous waste landfills and solid waste landfills is blurring.  States now require double liners for landfills or utilize a liner with a full site lysimeter system to ensure groundwater protection and contaminant detection. To increase public acceptance and confidence in the ability of landfill systems to protect the environment, landfill designs now call for multiple liner systems for disposing of both hazardous and solid waste. </t>
  </si>
  <si>
    <t>Cost from MILCON project P-1353, Construct Landfill, Camp Lejeune, FY2014.
Area Cost Factor (0.96) derived from USACE PAX 3.2.1 Area Cost Factors, 16 May 2019.</t>
  </si>
  <si>
    <t>USACE PAX Newsletter 3.2.2,30 May 2019</t>
  </si>
  <si>
    <t>600 GPM = 864 KG assume service factor of 75% (conversion factor = 648)</t>
  </si>
  <si>
    <t>Water main, 6 IN ductile iron</t>
  </si>
  <si>
    <t>Water main, 6 IN plastic</t>
  </si>
  <si>
    <t>Water lateral, 1 IN</t>
  </si>
  <si>
    <t>The average quantity for this FAC is 18,136 LF.
This FAC does not represent a building and therefore has no International Building Code Occupancy Group.</t>
  </si>
  <si>
    <t>KG/Day</t>
  </si>
  <si>
    <t>Fire hydrants, 300 FT on center, EA</t>
  </si>
  <si>
    <t>Water main, 6 IN steel</t>
  </si>
  <si>
    <t>Tunnel</t>
  </si>
  <si>
    <t>Road construction assumes 12" clearing and grubbing to reach inorganic base.
2018 RPAD Assets 80.5% Asphalt (6,162) / 19.5% Concrete (1,491)</t>
  </si>
  <si>
    <t>Bridge, highway, steel median per SF</t>
  </si>
  <si>
    <t>The average quantity for this FAC is357 SY (square yards).
This FAC does not represent a building and therefore has no International Building Code Occupancy Group.</t>
  </si>
  <si>
    <t xml:space="preserve">The average quantity for this FAC is 11,590 SY.
This FAC does not represent a building and therefore has no International Building Code Occupancy Group.
</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</si>
  <si>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</si>
  <si>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 xml:space="preserve">UFC 3-201-01, “Civil Engineering,” 1 April 2018, with Change 2, 19 March 2019. 
UFGS 32 16 13, “Concrete Sidewalks and Curbs and Gutters,” May 2018.
</t>
  </si>
  <si>
    <t xml:space="preserve">UFC 3-201-01, “Civil Engineering,” 1 April 2018, with Change 2, 19 March 2019.
AASHTO, "Standard Specifications for Highway Bridges," 17th  edition, 2002
AASHTO, "LRFD Design Specification," U.S. Customary Units, 8th Edition, September 2017 (LRFD = Load and Resistance Factor Design).
</t>
  </si>
  <si>
    <t>UFC 3-201-01, “Civil Engineering,” 1 April 2018, with Change 2, 19 March 2019.
AASHTO, "Standard Specifications for Highway Bridges," 17th  edition, 2002
AASHTO, "LRFD Design Specification," U.S. Customary Units, 8th Edition, September 2017 (LRFD = Load and Resistance Factor Design).</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</si>
  <si>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</si>
  <si>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Area Cost Factors derived from USACE PAX 3.2.1, DoD Area Cost Factors, 16 May 2019</t>
  </si>
  <si>
    <t>Storm Manhole, 400 FT o.c.</t>
  </si>
  <si>
    <t>Pipe, Drainage System, 10 IN,  Average Cost</t>
  </si>
  <si>
    <t>Pipe, Drainage System, 12 IN,  Average Cost</t>
  </si>
  <si>
    <t>Assume height = 8 FT</t>
  </si>
  <si>
    <t>Concrete Foundation Wall, 6 IN, reinforced, SF</t>
  </si>
  <si>
    <t>Assume dike is a trapezoid; 10 FT top, 15 FT sides, 34 FT base.  1 side exposed to water.  198 CF / LF</t>
  </si>
  <si>
    <t>SW Drainage Ponds, includes fence, seeding slopes, partial liner and excavation; 1/8 acre, 5 FT deep</t>
  </si>
  <si>
    <t>SW Drainage Ponds, includes fence, seeding slopes, partial liner and excavation; 1/4 acre, 5 FT deep</t>
  </si>
  <si>
    <t>SW Drainage Ponds, includes fence, seeding slopes, partial liner and excavation; 3/8 acre, 5 FT deep</t>
  </si>
  <si>
    <t>SW Drainage Ponds, includes fence, seeding slopes, partial liner and excavation; 1/2 acre, 5 FT deep</t>
  </si>
  <si>
    <t>Add 25 FT wide gate, 1 per 1000 LF</t>
  </si>
  <si>
    <t>Chain Link Fence,  #9 wire, 8 FT height, per LF, posts 2 IN" round,    10 FT on center</t>
  </si>
  <si>
    <t xml:space="preserve">The average quantity for this FAC is 3504 LF (linear feet).
This FAC does not represent a building and therefore has no International Building Code Occupancy Group.
</t>
  </si>
  <si>
    <t>Deduction for "large installation" between 4,500 LF and 6,000 LF = 15%</t>
  </si>
  <si>
    <t>Chain Link Fence, 2 IN mesh, #7 wire, 12 FT, per LF; posts (2 IN round or "H" posts) set in concrete, 10 FT on centers</t>
  </si>
  <si>
    <t>25 FT wide gate, 12 FT high, 1 per 1000 LF</t>
  </si>
  <si>
    <t>Security micro-mesh, $1.10/SF = $13.20/LF for 12 FT fence height</t>
  </si>
  <si>
    <t xml:space="preserve">The average area for this FAC is 1305 SF. 
International Building Code (IBC) Occupancy Group H.
</t>
  </si>
  <si>
    <t>UFC 3-600-01, "Fire Protection Engineering for Facilities," 08 August 2016 with Change 3, 10 May 2019.
NFPA 850, "Recommended Practice for Fire Protection for Electric Generating Plants and High Voltage Direct Current Converter Stations," Section 6.6, 2015. 
IBC, 2018 edition.</t>
  </si>
  <si>
    <t>Average size in inventory = 1,105 SF (85 FT x 13 FT)</t>
  </si>
  <si>
    <t>Industrial Pump, 8 IN suction x 6 IN discharge, 60 HP, 1,750 RPM</t>
  </si>
  <si>
    <t>Utility Vault / Utility Tunnel, Medium Soil, 5 IN -7 IN wall, CF</t>
  </si>
  <si>
    <t>Overhead door, roll-up, std. 9 FT x9 FT = 81 SF</t>
  </si>
  <si>
    <t>Dock bumper, 10 FT length</t>
  </si>
  <si>
    <t>Dock seal, 10 IN projection</t>
  </si>
  <si>
    <t>Hazardous Material Drum Storage System; 2,000 LBS pneumatic hoist, and drum lift, 78- to 156-drum capacity, 100 drums assumed</t>
  </si>
  <si>
    <t>Utility Vault / Utility Tunnel, Medium Soil, 5 IN - 7FT wall, CF</t>
  </si>
  <si>
    <t>Assumed Size: 9 FT high, 10 FT x 10 FT</t>
  </si>
  <si>
    <t>Assume Size for EA = 12 FT wide x 30 FT long = 360 SF</t>
  </si>
  <si>
    <t>Gas main, 4 IN plastic</t>
  </si>
  <si>
    <t>Gas main, 3 IN steel</t>
  </si>
  <si>
    <t>Utility tunnel, 3 IN - 5 IN wall, medium soil, 5 FTx7 FT cross-section</t>
  </si>
  <si>
    <t>Utility tunnel, 3 IN -5 IN wall, medium soil, 1 FT x 2 FT cross-section</t>
  </si>
  <si>
    <t>Utility tunnel, 3 IN - 5 IN wall, medium soil, 2 FT x 2 FT cross-section</t>
  </si>
  <si>
    <t>Utility tunnel, 7 IN - 10 IN wall, medium soil, 4 FT x 4 FT cross-section</t>
  </si>
  <si>
    <t>Utility tunnel, 5 IN - 7 IN wall, medium soil, 2 FT x 4 FT cross-section</t>
  </si>
  <si>
    <r>
      <t>This unit price based upon two Air Force MILCON DD Forms 1391 Project Data Sheets submitted to Congress for the FY17 program (Projects # FTQW170112 and FTQW183001) for construction of two 16-bay aircraft  weather shelters at Eielson AFB.  No shelters in the FY15 or FY16 MILCON programs.  Area Cost Factor derived from USACE PAX 3.2.1 Area Cost Factors,</t>
    </r>
    <r>
      <rPr>
        <sz val="11"/>
        <rFont val="Calibri"/>
        <family val="2"/>
        <scheme val="minor"/>
      </rPr>
      <t xml:space="preserve"> 23 May 2019</t>
    </r>
    <r>
      <rPr>
        <sz val="11"/>
        <color theme="1"/>
        <rFont val="Calibri"/>
        <family val="2"/>
        <scheme val="minor"/>
      </rPr>
      <t>.</t>
    </r>
  </si>
  <si>
    <r>
      <t xml:space="preserve">There are 40 assets listed in the 2018 RPAD for FAC 1467, which is comprised of three category codes (CATCODE): 
</t>
    </r>
    <r>
      <rPr>
        <sz val="11"/>
        <rFont val="Calibri"/>
        <family val="2"/>
        <scheme val="minor"/>
      </rPr>
      <t>• Air Force 149629, Cold Fog Dispersal System;  however, there are no AF assets in this FAC in the 2018 RPAD.  Previously, this system was represented by FAC 8930, Installation Natural Gas Distribution.</t>
    </r>
    <r>
      <rPr>
        <sz val="11"/>
        <color theme="1"/>
        <rFont val="Calibri"/>
        <family val="2"/>
        <scheme val="minor"/>
      </rPr>
      <t xml:space="preserve">
• Navy 14915, Navy Fixed Point Utility Support: There are 36 assets currently in the 2018 RPAD inventory.  This could  be an air-start system, environmental control system, flight line electrical distribution system (FLEDS) or point-of-use frequency converter system according to UFC 2-000-05N.   This CATCODE can be represented by FAC 8927, Utility Vault.
• Navy/Marine Corps 14985, Expeditionary Air Control Site: There are 4 assets in the inventory.  According to Unified Facilities Criteria (UFC) 2-000-05N, this CATCODE represents  Marine Corps facilities required to accommodate, in garrison, the equipment used for expeditionary aircraft command and control.  UFC 2-000-05N points to UFC 4-141-10N for details, and that document, in turn, republishes MIL-HDBK 1024/1 of 1992 for criteria.  MIL-HDBK 1024/1 describes a collection of facilities including radio and radar towers and prefabricated buildings as collectively comprising the category code.   This CATCODE can be represented by FAC 1341, Aircraft Navigation Facility. 
</t>
    </r>
  </si>
  <si>
    <t>Control Tower - open observation deck (w/ instrumentation)</t>
  </si>
  <si>
    <t>Note:  Layout of obstacle course from FM 7-22, "Army Physical Readiness Training," October 2012, and AFI 36-2202, "Air Force Obstacle Course Program," 07 August 2007.</t>
  </si>
  <si>
    <t>USACE PAX Newsletter 3.2.2, 4 Jan 2011</t>
  </si>
  <si>
    <t>Deleted  in the FY 2019 RPCS</t>
  </si>
  <si>
    <t>Marshall &amp; Swift Valuation, October 2018</t>
  </si>
  <si>
    <t>Table 2, UFC 3-701-1, 1 April 2017</t>
  </si>
  <si>
    <t xml:space="preserve">              RUCs inflation is calculated using UFC 3-701-01, 2018,  Change 2, Table 4-2, 30 May 2019.</t>
  </si>
  <si>
    <t>Inflation Adjustment  by MILCON Index</t>
  </si>
  <si>
    <t>Area Adjustment for Marshall and Swift Components is location normalized by multiplying by the M&amp;S local multiplier for Arlington, VA (1.06), then dividing by the DoD Area Cost Factor for Arlington, VA (1.07).</t>
  </si>
  <si>
    <t>Car Wash Structure</t>
  </si>
  <si>
    <t>Cost from MILCON project DD Form 1354; constructed in 2008.  
Area Cost Factor derived from USACE PAX 3.2.1 Area Cost Factors, 24 April 2018.
184 Memorial Units (EA) at the Pentagon Memorial.</t>
  </si>
  <si>
    <t>Marshall &amp; Swift cost are for standard gas- and light-oil-fired boilers, complete with pumps, controls and gauges, 15 LB pressure for steam, 30 LB for water.  Cost does  not include flue piping, electric wiring, pad, gas or oil piping or storage tanks.
ASME BPVC, Section IV, "Heating Boilers," 2017
Controls and Safety Devices for Automatically Fired Boilers, 2015
UFC 3-410-01, “Heating, Ventilation and Air Conditioning Systems," 1 July 2013, with Change 4 of 1 November" 2017
UFC 3-430-02FA, “Central Steam Boiler Plants," 15 May 2003, with Change 1, 1 December 2007
UFC 3-430-08N, “Central Heating Plants,” 16 January 2004
UFC 3-600-01, "Fire Protection Engineering for Facilities," 08 August 2016 with Change 2, 25 March 2018
NFPA 850, "Recommended Practice for Fire Protection for Electric Generating Plants and High Voltage Direct Current Converter Stations," 2015</t>
  </si>
  <si>
    <t xml:space="preserve">UFC 3-250-01, “Pavement Design for Roads and Parking Areas,"  14 November 2016.
UFC 3-250-09FA, “Aggregate Surfaced Roads and Airfield Areas,” 16 January 2004.
UFGS 32 13 13.06 , “Portland Cement Concrete Pavement for Roads and Site Facilities,” November 2011 with Change 2, August 2017.
</t>
  </si>
  <si>
    <t xml:space="preserve">UFC 4-832-01N, “Design: Industrial and Oily Wastewater Control,” 16 January 2004.
UFC 3-240-02, “Domestic Wastewater Treatment,” 1 November 2012, with Change 1, 01 January 2019.
UFC 3-460-01, “Design: Petroleum Fuel Facilities,” 16 July 2019. 
UFC 3-240-01, “Wastewater Collection,”  1 November 2012, with Change 2, 01 January 2019.
UFC 3-201-01, “Civil Engineering,” 1 April 2018, with Change 2, 19 March 2019. 
PWTB 200-1-38, “Guidelines for Complying with the Oil Pollution Prevention Regulation,” 31 October 2006 .
PWTB 200-1-87, “Operation and Maintenance for Central Vehicle Wash Facilities,” 3 March 2011.
40 CFR Part 264, “Standard for Owners and Operators of Hazardous Waste Treatment, Storage and Disposal Facilities.”
40 CFR Part 279, “Standards for the Management of Used Oil.” </t>
  </si>
  <si>
    <t xml:space="preserve">              No calculations are shown for "Set-to" FACs, such as FAC 1115, Unmanned Aerial Vehicle (UAV) Runway and Launch/Recovery Site; or for RUCs that were simply inflated, such as FAC 1111, Fixed Wing Runway. </t>
  </si>
  <si>
    <r>
      <rPr>
        <sz val="11"/>
        <rFont val="Calibri"/>
        <family val="2"/>
        <scheme val="minor"/>
      </rPr>
      <t xml:space="preserve">The average area for this FAC is 6,695 SF.  </t>
    </r>
    <r>
      <rPr>
        <sz val="11"/>
        <color rgb="FFFF0000"/>
        <rFont val="Calibri"/>
        <family val="2"/>
        <scheme val="minor"/>
      </rPr>
      <t xml:space="preserve">
</t>
    </r>
  </si>
  <si>
    <t xml:space="preserve">No Unified Facilities Criteria (UFC) criteria exist for component material.  Marshall and Swift is used to calculate the unit cost and is based upon commercial and public utility/governmental antennas. </t>
  </si>
  <si>
    <t xml:space="preserve">IBC Group B
UFC 4-440-01 requires compliance with the NFPA 13  and UFC 3-600-01 .  UFC 3-600-01, "Fire Protection Engineering for Facilities," refers the designer to the IBC.  The Fire Sprinkler Business Rule incorporates the requirements of National Fire Protection Association (NFPA) Standard 13, UFC 3-600-01 and the IBC.  Application of the Fire Sprinkler Business Rule requires a sprinkler system to be installed in this type of facility.
</t>
  </si>
  <si>
    <t>Military Cost Premium is included in included in component FACs unit cost.</t>
  </si>
  <si>
    <r>
      <t>RUC is based upon a study conducted for Commander, Navy Installations Command (CNIC) in FY2009, which appears below in full.  Under the direction of CNIC, the replacement unit cost for FAC 1512 is set equal to FAC 1511.</t>
    </r>
    <r>
      <rPr>
        <sz val="11"/>
        <color theme="3" tint="0.39997558519241921"/>
        <rFont val="Calibri"/>
        <family val="2"/>
        <scheme val="minor"/>
      </rPr>
      <t xml:space="preserve">   </t>
    </r>
    <r>
      <rPr>
        <sz val="11"/>
        <color theme="1"/>
        <rFont val="Calibri"/>
        <family val="2"/>
        <scheme val="minor"/>
      </rPr>
      <t>In the 2018 RPAD, there are 350 assets in FAC 1512, with an average size of 4,897 SY.</t>
    </r>
  </si>
  <si>
    <r>
      <t>FAC 1772 design criteria is found in U.S. Army Technical Circular (TC) TC 25-8.  Area:  20,000,000 M</t>
    </r>
    <r>
      <rPr>
        <vertAlign val="superscript"/>
        <sz val="11"/>
        <rFont val="Calibri"/>
        <family val="2"/>
        <scheme val="minor"/>
      </rPr>
      <t xml:space="preserve">2 </t>
    </r>
    <r>
      <rPr>
        <sz val="11"/>
        <rFont val="Calibri"/>
        <family val="2"/>
        <scheme val="minor"/>
      </rPr>
      <t>/ 4,942 AC.</t>
    </r>
    <r>
      <rPr>
        <vertAlign val="superscript"/>
        <sz val="11"/>
        <rFont val="Calibri"/>
        <family val="2"/>
        <scheme val="minor"/>
      </rPr>
      <t xml:space="preserve">.  </t>
    </r>
    <r>
      <rPr>
        <sz val="11"/>
        <rFont val="Calibri"/>
        <family val="2"/>
        <scheme val="minor"/>
      </rPr>
      <t>Range Dimensions 2,500 M X 8,000 M (TC 25-8, Figure H-10.2).  1 Acre = 4,047 M</t>
    </r>
    <r>
      <rPr>
        <vertAlign val="superscript"/>
        <sz val="11"/>
        <rFont val="Calibri"/>
        <family val="2"/>
        <scheme val="minor"/>
      </rPr>
      <t>2</t>
    </r>
    <r>
      <rPr>
        <sz val="11"/>
        <rFont val="Calibri"/>
        <family val="2"/>
        <scheme val="minor"/>
      </rPr>
      <t xml:space="preserve">.
There are 52 FAC 1772 records, with an average size of 2 each.  
This FAC aggregates multiple (1 AF, 7 Army and 3 Navy/Marine Corps) category codes.  Category code 17860, </t>
    </r>
    <r>
      <rPr>
        <i/>
        <sz val="11"/>
        <rFont val="Calibri"/>
        <family val="2"/>
        <scheme val="minor"/>
      </rPr>
      <t>Digital Multipurpose Range Complex (DMPRC)</t>
    </r>
    <r>
      <rPr>
        <sz val="11"/>
        <rFont val="Calibri"/>
        <family val="2"/>
        <scheme val="minor"/>
      </rPr>
      <t xml:space="preserve">, was chosen from TC 25-8, Table 2-2, as a conservative representative design/cost estimate.  
</t>
    </r>
  </si>
  <si>
    <t>Fine Grading for Roadways, Base or Levelling Course, Large Areas &gt; 6,000 SY;  11,525 SY</t>
  </si>
  <si>
    <t xml:space="preserve">The average size for this FAC is 1 EA (each).  NFPA 1402 recommends a minimum facility size of 20 FT x 20 Ft with 4 stories of 10 ft height each.  Incorporating the training spaces listed in the UFC, a facility size of 50 ft x 50 ft, with 10 ft floor heights and 4 floors has been chosen as the basis of the RUC.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</si>
  <si>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estimates  the average number of loading docks per square foot of industrial or warehouse is 1 dock per 7,500 sf of floor space.  For this FAC, 2 loading dock assemblies are provided. The guide specification for design of a loading dock is contained in the Unified Facilities Guide Specification (UFGS). 
The average number of floors is 1.2 yielding no elevator for the maximum number of occupants applying  the Elevator Business Rule.  Since, the Marshall and Swift building selected for this FAC includes elevators as part of the unit price, the elevator cost  is deducted from the unit price.
</t>
  </si>
  <si>
    <t>Laboratory  Building, Class A/B, Average, with complete HVAC, including elevator</t>
  </si>
  <si>
    <t>Laboratory  Building, Class A/B, Average, with complete HVAC, including elevator (Deduct $2.48 for no included elevator)</t>
  </si>
  <si>
    <t>Laboratory  Building, Class A/B, Average, with complete HVAC, including elevator (Deduct $2.48/SF for no included elevator)</t>
  </si>
  <si>
    <t>There are no assets for FAC 3104 in the 2018 RPAD.</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</si>
  <si>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</si>
  <si>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 xml:space="preserve">Laboratory  Building, Class A/B, Average, with complete HVAC, including elevator </t>
  </si>
  <si>
    <t xml:space="preserve">No UFC requirement exists for the incorporation of a loading.  As general guidance, the Commercial Real Estate Development Association (NAIOP) provides an estimate of the average number of loading docks per square foot of industrial or warehouse averaging 1 dock per 7,500 sf of floor space.   For this FAC, 1 loading dock assembly are provided.   
The guide specification for design of a loading dock is contained in the Unified Facilities Guide Specification (UFGS). 
Average number of floors above ground is 1.54, yielding 1 elevator in consonance with the Elevator Business Rules.
</t>
  </si>
  <si>
    <t>Laboratory  Building, Class A/B, Average, with complete HVAC, including elevator (Deduct $2.42/SF for no included elevator)</t>
  </si>
  <si>
    <t>No overhead crane is provided, applying the Overhead Crane Business Rule.   A craneway is not included in the building's unit cost.</t>
  </si>
  <si>
    <t>Laboratory  Building, Class A/B, Average, with complete HVAC (Deduct $2.42/SF for no included elevator)</t>
  </si>
  <si>
    <t>A bridge crane has been incorporated into the replacement unit cost in consonance with the Overhead Crane Business Rule.  A craneway is not included in the building's unit cost.</t>
  </si>
  <si>
    <t>Veterinary Hospital, Class B, Average, including elevator (Deduct $3.99/SF for no included elevator)</t>
  </si>
  <si>
    <t>Overhead door, Electric operator, EA</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</si>
  <si>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and International Plumbing Code. </t>
  </si>
  <si>
    <t>CDC-Preschool, 232 children, 0-6 yrs.</t>
  </si>
  <si>
    <t>Theater seats, neighborhood theater type, upholstered; assume 1,000 seats</t>
  </si>
  <si>
    <t>Niche's do not come in standard size; Niches at Arlington National Cemetery are 10"W x 14"H x 19"D, or 1.54 CF</t>
  </si>
  <si>
    <t xml:space="preserve">American Society of Mechanical Engineers (ASME) Boiler and Pressure Vessel Code (BPVC) Section IV (2015)  governs the construction of the boiler (heat source).
Heat source controls are governed by ASME CSD-1-2015.  
Unified Facilities Criteria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</si>
  <si>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The average quantity for this FAC is 35,975,273 BH (Btu/hr.).  The common industry unit of measure is “MB”, thousands of Btu/hr. 
This FAC does not represent a building and therefore has no International Building Code Occupancy Group.
</t>
  </si>
  <si>
    <t>Hot Water (HW) Lines, Underground High Temperature, Common Conduit (Combined HW Supply &amp; Return (RET) Pipes, Prefabricated Black Steel, INSL Case, Including Excavation, Backfill, Fittings &amp; Testing</t>
  </si>
  <si>
    <t xml:space="preserve">UFC  3-230-01, “Water Storage, Distribution, and Transmission," 01 September 2018, with Change 1, 01 October 2018.
UFGS 33 11 00, “Water Utility Distribution Piping,”  01 February 2018.
</t>
  </si>
  <si>
    <t>Assume 2 lanes wide plus shoulder (30 FT) and 4 FT Sidewalks on both sides: 38 FT wide celling x 20 FT high walls; Average length:  936 LF per 2018 RPAD.  Road surface and sidewalks width not included in RUC.</t>
  </si>
  <si>
    <t xml:space="preserve">No UFC requirement exists for the incorporation of a loading dock and no elevator is provided as this is neither a facility nor building.
</t>
  </si>
  <si>
    <t xml:space="preserve">Title 42 United States Code, "The Public Health and Welfare."
40 CFR Parts 261, "Identification and Listing of Hazardous Waste;" 262, "Standards Applicable to Generators of Hazardous Waste;" and, 266, "Standards for the Management of Specific Hazardous Wastes and Specific Types of Hazardous Waste Management Facilities."
DoD Instruction (DoDI) 4715.06, “Environmental Compliance in the United States,” May 4, 2015, incorporating Change 1, 27 October 2017.                                                                                                                                                                                        UFGS 02 81 00, “Transportation and Disposal of Hazardous Materials,” 1 November 2018.
PWTB 200-1-76, “Universal Waste Management and Disposal,” 23 March 2010.
</t>
  </si>
  <si>
    <t xml:space="preserve">No UFC requirement exists for the incorporation of a loading dock and no elevator is provided as this is not a facility nor building
</t>
  </si>
  <si>
    <t xml:space="preserve">No UFC requirement exists for the incorporation of a loading dock and no elevator is provided as the category codes aggregated in this FAC are not buildings.
</t>
  </si>
  <si>
    <t>Average size of the vehicle washing facilities in the 2018 RPAD is 21,735 SF, with an average length of 207 LF and width of 105 LF.</t>
  </si>
  <si>
    <t xml:space="preserve">Per 2018 RPAD, 52% of Schools are CONUS by total SF.  </t>
  </si>
  <si>
    <t xml:space="preserve">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 </t>
  </si>
  <si>
    <t>Inflation Adjustment 
by MILCON Index</t>
  </si>
  <si>
    <t>NA;  GUCs are as of  October 2018</t>
  </si>
  <si>
    <t>Marshall and Swift Valuation,                                      October 2018</t>
  </si>
  <si>
    <t>USACE PAX Newsletter 3.2.2, 16 May 2016;                       UFC 4-214-03, 17 March 2018</t>
  </si>
  <si>
    <t>NA;  GUCs are as of \October 2018</t>
  </si>
  <si>
    <t>Maintenance Shops: Military Vehicle Maintenance, Small                      (&lt; 21,000 SF)</t>
  </si>
  <si>
    <t>Wash Rack / Platform (Average CATCODE 2018 RPAD Size = 2,213 SF; Average Length - 63.4 LF; Average Width - 34.9 LF)</t>
  </si>
  <si>
    <t>UFC 2-200-05N, "Facility Planning for Navy and Marine Corps Shore Installations," Various Chapters and Series. 
UFC 3-340-02, "Structures to Resist the Effects of Accidental Explosions," 05 December 2008, with Change 2, 01 September 2014.
UFC 3-600-01, "Fire Protection Engineering for Facilities," 08 August 2016, with Change 3, 10 May 2019.
Commercial Real Estate Development Association, NAIOP Research Foundation, “NAIOP Terms and Definitions;" https://www.naiop.org/en/Research/Terms-and-Definitions.                                                                 UFGS-11 13 19.13, "Loading Dock Levelers,"  August 2009                                                                                                                                                                                                                                                                                                        IBC, 2018 edition</t>
  </si>
  <si>
    <t xml:space="preserve">NFPA 13, Standard for the Installation of Fire Sprinkler Systems.
UFC 3-600-01, "Fire Protection Engineering for Facilities," 08 August 2016, with Change 6, 10 May 2019.
Commercial Real Estate Development Association, NAIOP Research Foundation, “NAIOP Terms and Definitions;" https://www.naiop.org/en/Research/Terms-and-Definitions.                                                                 IBC, 2018 edition
</t>
  </si>
  <si>
    <t xml:space="preserve">No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Unified Facilities Guide Specification (UFGS) 11 13 19.13 and Whole Building Design Guide (WBDG) Federal Green Construction Guide for Specifiers, Section 11 13 00 (11160). 
The average number of floors is 1.16 yielding 1 elevator for the maximum number of occupants applying  the Elevator Business Rule.  
The Marshall and Swift building selected for this FAC includes elevators as part of the unit price.
</t>
  </si>
  <si>
    <t xml:space="preserve">Commercial Real Estate Development Association, NAIOP Research Foundation, “NAIOP Terms and Definitions;" https://www.naiop.org/en/Research/Terms-and-Definitions. 
UFGS-11 13 19.13, "Loading Dock Levelers," August 2009                                                                                                                                                                                                                                                                                WBGD Federal Green Construction Guide for Specifiers, Section 11 13 00 (11160), "Loading Dock Equipment," 04 January 2010.                                                                                                                                                   IBC, International Code Council,  2018 edition.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</si>
  <si>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1 loading dock assembly is provided.   
The guide specification for design of a loading dock is contained in the Unified Facilities Guide Specification. 
The average number of floors is 1.3 yielding 0 elevators for the maximum number of occupants, applying the Elevator Business Rule.  
</t>
  </si>
  <si>
    <t>USACE PAX Newsletters 3.2.2;                                                         Marshall and Swift Valuation, October 2018</t>
  </si>
  <si>
    <t>UFC 4-440-01, "Warehouse and Storage Facilities," 01 October 2014.                                                                                                                                                                                                                                                     NFPA 13, "Standard for the Installation of Fire Sprinkler Systems," 2016 Edition.
UFC 3-600-01 "Fire Protection Engineering for Facilities," 08 August 2016, with Change 2, 25 March 2018
Commercial Real Estate Development Association, NAIOP Research Foundation, “NAIOP Terms and Definitions: North American Office and Industrial Market."                                                                                    IBC, 2018 edition</t>
  </si>
  <si>
    <t xml:space="preserve">UFC 3-600-01, "Fire Protection Engineering for Facilities," 08 August 2016 with Change 2, 25 March 2018
UFC 4-440-01, "Warehouse and Storage Facilities," 01 October 2014.
NFPA Standard 13, "Standard for the Installation of Fire Sprinkler Systems," 2016
Commercial Real Estate Development Association, NAIOP Research Foundation, “Commercial Real Estate Terms and Definitions," 2017.                      
UFGS-11 13 19.13, Loading Dock Levelers, August 2009                                                                                                                                                                                                                                                                                 IBC, 2018 edition                         </t>
  </si>
  <si>
    <t xml:space="preserve">UFC 4-510-01, "Design: Military Medical Facilities,"  30 May 2019, with Change 1,  21 June 2019.                                                                                                                                                                                                       UFC 4-720-01 "Lodging Facilities," 13 February 2012. Per DoD requirements, provide accessible rooms per Table F224.2 of the ABA Accessibility Standard for DoD facilities.
FC 4-721-10N, "Navy and Marine Corps Unaccompanied Housing," 01 November 2012, with Change 6, 20 May 2015. 
UFC 3-600-01, "Fire Protection Engineering for Facilities," 08 August 2016 with Change 3, 10 May 2019.
IBC, 2018 Edition.
UFC 3-101-01, "Architecture," 28 November 2011, with Change 4, 06 March 2019.                                                                                                                                                                                          </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</si>
  <si>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</si>
  <si>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Assumed # slips = 90 (from review of military web sites)</t>
  </si>
  <si>
    <r>
      <t xml:space="preserve">UFC 3-230-03, “Water Treatment,” 1 November 2012, with Change 1, 1 September 2018.  
</t>
    </r>
    <r>
      <rPr>
        <sz val="11"/>
        <color theme="1"/>
        <rFont val="Calibri"/>
        <family val="2"/>
        <scheme val="minor"/>
      </rPr>
      <t xml:space="preserve">UFGS 02 51 13, "Precipitation/Coagulation/Flocculation Water Treatment," 1 May 2010.                                                                                                                                                                                                                                                                                                          UFGS 33 30 00, “Sanitary Sewerage,” 1 May 2018. </t>
    </r>
    <r>
      <rPr>
        <sz val="11"/>
        <rFont val="Calibri"/>
        <family val="2"/>
        <scheme val="minor"/>
      </rPr>
      <t xml:space="preserve">
</t>
    </r>
  </si>
  <si>
    <t>UFC 4-022-01, “Security Engineering:  Entry Control Facilities/Access Control Points, 27 July 2017.  
UFC 4-022-03, “Security Fences and Gates,” 1 October 2013.
ASCE 7-10, "Minimum Design Loads for Buildings and Other Structures,"  Third Printing, 2013.
UFGS 32 31 26, “Wire Fences and Gates,” April 2008.                                                                                                                                                                                                                                                                                  UFGS 32 31 13, “Chain Link Fences and Gates,”  November 2016, with Change 1, May 2017.
UFGS 32 32 23, “Segmental Concrete Block Retaining Wall,” April 2008, with Change 1 of August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</si>
</sst>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0.000000"/>
    <numFmt numFmtId="174" formatCode="_(&quot;$&quot;* #,##0_);_(&quot;$&quot;* \(#,##0\);_(&quot;$&quot;* &quot;-&quot;??_);_(@_)"/>
    <numFmt numFmtId="175" formatCode="&quot;$&quot;#,##0.00;[Red]&quot;$&quot;#,##0.00"/>
    <numFmt numFmtId="176" formatCode="&quot;$&quot;#,##0.0000_);\(&quot;$&quot;#,##0.0000\)"/>
    <numFmt numFmtId="177" formatCode="_(&quot;$&quot;* #,##0.000_);_(&quot;$&quot;* \(#,##0.000\);_(&quot;$&quot;* &quot;-&quot;??_);_(@_)"/>
    <numFmt numFmtId="178" formatCode="0.00000"/>
    <numFmt numFmtId="179" formatCode="&quot;$&quot;#,##0"/>
    <numFmt numFmtId="180" formatCode="_(&quot;$&quot;* #,##0.000_);_(&quot;$&quot;* \(#,##0.000\);_(&quot;$&quot;* &quot;-&quot;???_);_(@_)"/>
    <numFmt numFmtId="181" formatCode="#,##0.0000_);\(#,##0.0000\)"/>
  </numFmts>
  <fonts count="4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b/>
      <sz val="9"/>
      <name val="Calibri"/>
      <family val="2"/>
      <scheme val="minor"/>
    </font>
    <font>
      <sz val="8"/>
      <color indexed="8"/>
      <name val="Arial"/>
      <family val="2"/>
    </font>
    <font>
      <sz val="11"/>
      <color theme="1"/>
      <name val="Calibri"/>
      <family val="2"/>
    </font>
    <font>
      <sz val="11"/>
      <name val="Calibri"/>
      <family val="2"/>
    </font>
    <font>
      <sz val="11"/>
      <color theme="0" tint="-0.499984740745262"/>
      <name val="Calibri"/>
      <family val="2"/>
      <scheme val="minor"/>
    </font>
    <font>
      <sz val="10"/>
      <color theme="1"/>
      <name val="Calibri"/>
      <family val="2"/>
      <scheme val="minor"/>
    </font>
    <font>
      <sz val="11"/>
      <color rgb="FF000000"/>
      <name val="Calibri"/>
      <family val="2"/>
    </font>
    <font>
      <b/>
      <sz val="10"/>
      <name val="Arial"/>
      <family val="2"/>
    </font>
    <font>
      <i/>
      <sz val="11"/>
      <name val="Calibri"/>
      <family val="2"/>
      <scheme val="minor"/>
    </font>
    <font>
      <sz val="11"/>
      <color theme="3" tint="0.39997558519241921"/>
      <name val="Calibri"/>
      <family val="2"/>
      <scheme val="minor"/>
    </font>
    <font>
      <b/>
      <sz val="16"/>
      <color theme="1"/>
      <name val="Calibri"/>
      <family val="2"/>
      <scheme val="minor"/>
    </font>
    <font>
      <sz val="11"/>
      <color theme="0" tint="-0.34998626667073579"/>
      <name val="Calibri"/>
      <family val="2"/>
      <scheme val="minor"/>
    </font>
    <font>
      <vertAlign val="superscript"/>
      <sz val="11"/>
      <name val="Calibri"/>
      <family val="2"/>
      <scheme val="minor"/>
    </font>
    <font>
      <b/>
      <sz val="11"/>
      <color rgb="FFFF0000"/>
      <name val="Calibri"/>
      <family val="2"/>
      <scheme val="minor"/>
    </font>
    <font>
      <sz val="10"/>
      <name val="Calibri"/>
      <family val="2"/>
      <scheme val="minor"/>
    </font>
    <font>
      <b/>
      <sz val="11"/>
      <color theme="0" tint="-0.499984740745262"/>
      <name val="Calibri"/>
      <family val="2"/>
      <scheme val="minor"/>
    </font>
    <font>
      <i/>
      <sz val="11"/>
      <color theme="1"/>
      <name val="Calibri"/>
      <family val="2"/>
      <scheme val="minor"/>
    </font>
    <font>
      <i/>
      <sz val="11"/>
      <color rgb="FFFF0000"/>
      <name val="Calibri"/>
      <family val="2"/>
      <scheme val="minor"/>
    </font>
    <font>
      <b/>
      <sz val="11"/>
      <color indexed="8"/>
      <name val="Calibri"/>
      <family val="2"/>
    </font>
    <font>
      <sz val="11"/>
      <color indexed="8"/>
      <name val="Calibri"/>
      <family val="2"/>
    </font>
    <font>
      <b/>
      <i/>
      <sz val="11"/>
      <color theme="1"/>
      <name val="Calibri"/>
      <family val="2"/>
      <scheme val="minor"/>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u/>
      <sz val="11"/>
      <name val="Calibri"/>
      <family val="2"/>
      <scheme val="minor"/>
    </font>
    <font>
      <b/>
      <sz val="10"/>
      <name val="Calibri"/>
      <family val="2"/>
      <scheme val="minor"/>
    </font>
    <font>
      <b/>
      <i/>
      <sz val="11"/>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s>
  <borders count="57">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medium">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right style="medium">
        <color indexed="64"/>
      </right>
      <top style="medium">
        <color indexed="64"/>
      </top>
      <bottom/>
      <diagonal/>
    </border>
    <border>
      <left style="thin">
        <color auto="1"/>
      </left>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32" fillId="0" borderId="0"/>
    <xf numFmtId="0" fontId="36" fillId="0" borderId="0" applyNumberFormat="0" applyFill="0" applyBorder="0" applyAlignment="0" applyProtection="0"/>
    <xf numFmtId="0" fontId="38" fillId="0" borderId="0"/>
  </cellStyleXfs>
  <cellXfs count="1787">
    <xf numFmtId="0" fontId="0" fillId="0" borderId="0" xfId="0"/>
    <xf numFmtId="0" fontId="7" fillId="0" borderId="0" xfId="4" applyFont="1" applyFill="1" applyBorder="1" applyProtection="1"/>
    <xf numFmtId="0" fontId="4" fillId="0" borderId="5" xfId="0" applyFont="1" applyFill="1" applyBorder="1" applyAlignment="1">
      <alignment horizontal="center" vertical="center" wrapText="1"/>
    </xf>
    <xf numFmtId="0" fontId="8" fillId="0" borderId="0" xfId="4" applyFont="1" applyFill="1" applyBorder="1" applyAlignment="1" applyProtection="1">
      <alignment horizontal="center" vertical="top" wrapText="1"/>
    </xf>
    <xf numFmtId="0" fontId="0" fillId="0" borderId="7" xfId="0" applyNumberFormat="1" applyFont="1" applyFill="1" applyBorder="1" applyAlignment="1">
      <alignment horizontal="center"/>
    </xf>
    <xf numFmtId="0" fontId="0" fillId="0" borderId="8" xfId="0" applyFont="1" applyFill="1" applyBorder="1" applyAlignment="1">
      <alignment horizontal="center"/>
    </xf>
    <xf numFmtId="0" fontId="0" fillId="0" borderId="9" xfId="0" applyFill="1" applyBorder="1" applyAlignment="1">
      <alignment horizontal="center"/>
    </xf>
    <xf numFmtId="44" fontId="0" fillId="0" borderId="10" xfId="2" applyFont="1" applyFill="1" applyBorder="1"/>
    <xf numFmtId="0" fontId="7" fillId="0" borderId="0" xfId="4" applyFont="1" applyFill="1" applyProtection="1"/>
    <xf numFmtId="0" fontId="0" fillId="0" borderId="9" xfId="0" applyFont="1" applyFill="1" applyBorder="1" applyAlignment="1">
      <alignment horizontal="left" indent="1"/>
    </xf>
    <xf numFmtId="0" fontId="0" fillId="0" borderId="9" xfId="0" applyFont="1" applyFill="1" applyBorder="1" applyAlignment="1">
      <alignment horizontal="center"/>
    </xf>
    <xf numFmtId="0" fontId="0" fillId="0" borderId="9" xfId="0" applyFill="1" applyBorder="1"/>
    <xf numFmtId="44" fontId="0" fillId="0" borderId="0" xfId="2" applyFont="1" applyFill="1" applyBorder="1"/>
    <xf numFmtId="0" fontId="0" fillId="0" borderId="9" xfId="0" applyFont="1" applyFill="1" applyBorder="1"/>
    <xf numFmtId="44" fontId="0" fillId="0" borderId="9" xfId="2" applyFont="1" applyFill="1" applyBorder="1"/>
    <xf numFmtId="0" fontId="0" fillId="0" borderId="7" xfId="0" applyFont="1" applyFill="1" applyBorder="1" applyAlignment="1">
      <alignment horizontal="center"/>
    </xf>
    <xf numFmtId="165" fontId="0" fillId="0" borderId="9" xfId="1" applyNumberFormat="1" applyFont="1" applyFill="1" applyBorder="1"/>
    <xf numFmtId="44" fontId="0" fillId="0" borderId="9" xfId="2" applyFont="1" applyBorder="1"/>
    <xf numFmtId="0" fontId="8" fillId="0" borderId="9" xfId="0" applyFont="1" applyFill="1" applyBorder="1"/>
    <xf numFmtId="44" fontId="0" fillId="0" borderId="9" xfId="2" applyFont="1" applyFill="1" applyBorder="1" applyAlignment="1">
      <alignment horizontal="right"/>
    </xf>
    <xf numFmtId="0" fontId="8" fillId="0" borderId="9" xfId="0" applyFont="1" applyFill="1" applyBorder="1" applyAlignment="1">
      <alignment horizontal="center"/>
    </xf>
    <xf numFmtId="44" fontId="8" fillId="0" borderId="9" xfId="2" applyFont="1" applyBorder="1"/>
    <xf numFmtId="0" fontId="8" fillId="0" borderId="8" xfId="0" applyFont="1" applyFill="1" applyBorder="1" applyAlignment="1">
      <alignment horizontal="center"/>
    </xf>
    <xf numFmtId="44" fontId="8" fillId="0" borderId="9" xfId="2" applyFont="1" applyFill="1" applyBorder="1"/>
    <xf numFmtId="0" fontId="0" fillId="0" borderId="9" xfId="0" applyFont="1" applyBorder="1" applyAlignment="1">
      <alignment horizontal="center"/>
    </xf>
    <xf numFmtId="0" fontId="0" fillId="0" borderId="0" xfId="0" applyFill="1"/>
    <xf numFmtId="0" fontId="0" fillId="0" borderId="0" xfId="0" applyAlignment="1">
      <alignment wrapText="1"/>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8" fillId="0" borderId="10" xfId="0" applyFont="1" applyBorder="1" applyAlignment="1">
      <alignment vertical="center" wrapText="1"/>
    </xf>
    <xf numFmtId="0" fontId="8" fillId="0" borderId="10" xfId="0" applyFont="1" applyBorder="1" applyAlignment="1">
      <alignment horizontal="center" vertical="center"/>
    </xf>
    <xf numFmtId="0" fontId="8" fillId="0" borderId="13"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Fill="1" applyBorder="1"/>
    <xf numFmtId="0" fontId="10" fillId="0" borderId="9" xfId="0" applyFont="1" applyBorder="1" applyAlignment="1">
      <alignment horizontal="center" wrapText="1"/>
    </xf>
    <xf numFmtId="0" fontId="10" fillId="0" borderId="15" xfId="0" applyFont="1" applyBorder="1" applyAlignment="1">
      <alignment horizontal="center" wrapText="1"/>
    </xf>
    <xf numFmtId="0" fontId="10" fillId="0" borderId="9" xfId="0" applyFont="1" applyBorder="1" applyAlignment="1">
      <alignment horizontal="center"/>
    </xf>
    <xf numFmtId="0" fontId="0" fillId="0" borderId="0" xfId="0" applyAlignment="1"/>
    <xf numFmtId="0" fontId="0" fillId="0" borderId="0" xfId="0" applyFill="1" applyBorder="1" applyAlignment="1"/>
    <xf numFmtId="0" fontId="8" fillId="0" borderId="9" xfId="0" applyFont="1" applyBorder="1" applyAlignment="1">
      <alignment horizontal="center" vertical="center" wrapText="1"/>
    </xf>
    <xf numFmtId="0" fontId="0" fillId="0" borderId="0" xfId="0" applyBorder="1" applyAlignment="1">
      <alignment horizontal="center"/>
    </xf>
    <xf numFmtId="0" fontId="0" fillId="0" borderId="0" xfId="0" applyBorder="1" applyAlignment="1">
      <alignment wrapText="1"/>
    </xf>
    <xf numFmtId="0" fontId="0" fillId="0" borderId="0" xfId="0" applyBorder="1"/>
    <xf numFmtId="44" fontId="1" fillId="0" borderId="0" xfId="2" applyFont="1" applyFill="1" applyBorder="1"/>
    <xf numFmtId="0" fontId="8" fillId="0" borderId="9" xfId="0" applyFont="1" applyBorder="1" applyAlignment="1">
      <alignment horizontal="center"/>
    </xf>
    <xf numFmtId="0" fontId="8" fillId="0" borderId="9" xfId="0" applyFont="1" applyBorder="1"/>
    <xf numFmtId="0" fontId="0" fillId="0" borderId="9" xfId="0" applyFont="1" applyBorder="1"/>
    <xf numFmtId="0" fontId="8" fillId="0" borderId="9" xfId="0" applyFont="1" applyBorder="1" applyAlignment="1">
      <alignment horizontal="center" vertical="center"/>
    </xf>
    <xf numFmtId="0" fontId="8" fillId="0" borderId="15" xfId="0" applyFont="1" applyBorder="1" applyAlignment="1">
      <alignment horizontal="center"/>
    </xf>
    <xf numFmtId="0" fontId="8" fillId="0" borderId="15" xfId="0" applyFont="1" applyBorder="1"/>
    <xf numFmtId="0" fontId="0" fillId="0" borderId="0" xfId="0" applyBorder="1" applyAlignment="1"/>
    <xf numFmtId="0" fontId="8" fillId="0" borderId="9" xfId="0" applyFont="1" applyBorder="1" applyAlignment="1">
      <alignment vertical="center"/>
    </xf>
    <xf numFmtId="0" fontId="8" fillId="0" borderId="9" xfId="0" applyFont="1" applyBorder="1" applyAlignment="1">
      <alignment horizontal="left" vertical="center" wrapText="1"/>
    </xf>
    <xf numFmtId="8" fontId="8" fillId="0" borderId="9" xfId="0" applyNumberFormat="1" applyFont="1" applyBorder="1" applyAlignment="1">
      <alignment vertical="center" wrapText="1"/>
    </xf>
    <xf numFmtId="0" fontId="8" fillId="0" borderId="0" xfId="0" applyFont="1" applyFill="1" applyBorder="1" applyAlignment="1">
      <alignment vertical="top" wrapText="1"/>
    </xf>
    <xf numFmtId="0" fontId="8" fillId="0" borderId="5" xfId="0" applyFont="1" applyBorder="1" applyAlignment="1">
      <alignment horizontal="center"/>
    </xf>
    <xf numFmtId="0" fontId="10" fillId="0" borderId="9" xfId="0" applyFont="1" applyFill="1" applyBorder="1"/>
    <xf numFmtId="0" fontId="8" fillId="0" borderId="10" xfId="0" applyFont="1" applyFill="1" applyBorder="1" applyAlignment="1">
      <alignment horizontal="center" vertical="center" wrapText="1"/>
    </xf>
    <xf numFmtId="0" fontId="0" fillId="0" borderId="0" xfId="0" applyFont="1"/>
    <xf numFmtId="9" fontId="0" fillId="0" borderId="0" xfId="3" applyFont="1" applyAlignment="1">
      <alignment wrapText="1"/>
    </xf>
    <xf numFmtId="0" fontId="8" fillId="0" borderId="9" xfId="0" applyFont="1" applyBorder="1" applyAlignment="1">
      <alignment horizontal="right"/>
    </xf>
    <xf numFmtId="0" fontId="0" fillId="0" borderId="10" xfId="0" applyFont="1" applyBorder="1" applyAlignment="1">
      <alignment horizontal="left"/>
    </xf>
    <xf numFmtId="0" fontId="0" fillId="0" borderId="14" xfId="0" applyFont="1" applyBorder="1" applyAlignment="1">
      <alignment horizontal="left"/>
    </xf>
    <xf numFmtId="0" fontId="0" fillId="0" borderId="13" xfId="0" applyFont="1" applyBorder="1" applyAlignment="1">
      <alignment horizontal="left"/>
    </xf>
    <xf numFmtId="0" fontId="8" fillId="0" borderId="9" xfId="0" applyFont="1" applyFill="1" applyBorder="1" applyAlignment="1">
      <alignment horizontal="center" vertical="center" wrapText="1"/>
    </xf>
    <xf numFmtId="0" fontId="8" fillId="0" borderId="10" xfId="0" applyFont="1" applyBorder="1"/>
    <xf numFmtId="164" fontId="8" fillId="0" borderId="9" xfId="2" applyNumberFormat="1" applyFont="1" applyBorder="1"/>
    <xf numFmtId="0" fontId="8" fillId="0" borderId="8" xfId="0" applyFont="1" applyBorder="1" applyAlignment="1">
      <alignment horizontal="center"/>
    </xf>
    <xf numFmtId="0" fontId="10" fillId="0" borderId="9" xfId="0" applyFont="1" applyBorder="1" applyAlignment="1">
      <alignment horizontal="right"/>
    </xf>
    <xf numFmtId="0" fontId="8" fillId="0" borderId="14" xfId="0" applyFont="1" applyBorder="1" applyAlignment="1">
      <alignment vertical="center" wrapText="1"/>
    </xf>
    <xf numFmtId="165" fontId="8" fillId="0" borderId="14" xfId="1" applyNumberFormat="1" applyFont="1" applyBorder="1" applyAlignment="1">
      <alignment vertical="center"/>
    </xf>
    <xf numFmtId="0" fontId="0" fillId="0" borderId="9" xfId="0" applyBorder="1"/>
    <xf numFmtId="0" fontId="10" fillId="0" borderId="9" xfId="0" applyFont="1" applyFill="1" applyBorder="1" applyAlignment="1">
      <alignment horizontal="center" vertical="center" wrapText="1"/>
    </xf>
    <xf numFmtId="0" fontId="8" fillId="0" borderId="10" xfId="0" applyFont="1" applyFill="1" applyBorder="1" applyAlignment="1">
      <alignment horizontal="center" vertical="center"/>
    </xf>
    <xf numFmtId="0" fontId="8" fillId="0" borderId="13" xfId="0" applyFont="1" applyFill="1" applyBorder="1" applyAlignment="1">
      <alignment vertical="center"/>
    </xf>
    <xf numFmtId="165" fontId="8" fillId="0" borderId="14" xfId="1" applyNumberFormat="1" applyFont="1" applyFill="1" applyBorder="1" applyAlignment="1">
      <alignment vertical="center"/>
    </xf>
    <xf numFmtId="0" fontId="10" fillId="0" borderId="9" xfId="0" applyFont="1" applyFill="1" applyBorder="1" applyAlignment="1">
      <alignment horizontal="center" wrapText="1"/>
    </xf>
    <xf numFmtId="0" fontId="10" fillId="0" borderId="15" xfId="0" applyFont="1" applyFill="1" applyBorder="1" applyAlignment="1">
      <alignment horizontal="center" wrapText="1"/>
    </xf>
    <xf numFmtId="0" fontId="10" fillId="0" borderId="9" xfId="0" applyFont="1" applyFill="1" applyBorder="1" applyAlignment="1">
      <alignment horizontal="center"/>
    </xf>
    <xf numFmtId="0" fontId="8" fillId="0" borderId="9" xfId="0" applyFont="1" applyBorder="1" applyAlignment="1">
      <alignment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9" xfId="0" applyFont="1" applyBorder="1" applyAlignment="1"/>
    <xf numFmtId="44" fontId="1" fillId="0" borderId="0" xfId="2" applyFont="1" applyFill="1" applyBorder="1" applyAlignment="1"/>
    <xf numFmtId="0" fontId="0" fillId="0" borderId="0" xfId="0" applyFill="1" applyBorder="1" applyAlignment="1">
      <alignment wrapText="1"/>
    </xf>
    <xf numFmtId="8" fontId="8" fillId="0" borderId="9" xfId="2" applyNumberFormat="1" applyFont="1" applyBorder="1" applyAlignment="1">
      <alignment horizontal="right" vertical="center"/>
    </xf>
    <xf numFmtId="8" fontId="8" fillId="0" borderId="9" xfId="2" applyNumberFormat="1" applyFont="1" applyBorder="1"/>
    <xf numFmtId="0" fontId="0" fillId="0" borderId="9" xfId="0" applyFont="1" applyBorder="1" applyAlignment="1">
      <alignment horizontal="center" vertical="center"/>
    </xf>
    <xf numFmtId="0" fontId="0" fillId="0" borderId="9" xfId="0" applyFont="1" applyBorder="1" applyAlignment="1">
      <alignment horizontal="right" vertical="center"/>
    </xf>
    <xf numFmtId="0" fontId="8" fillId="0" borderId="8" xfId="0" applyFont="1" applyFill="1" applyBorder="1"/>
    <xf numFmtId="0" fontId="8" fillId="0" borderId="10" xfId="0" applyFont="1" applyFill="1" applyBorder="1" applyAlignment="1">
      <alignment vertical="center" wrapText="1"/>
    </xf>
    <xf numFmtId="0" fontId="8" fillId="0" borderId="9" xfId="0" applyFont="1" applyBorder="1" applyAlignment="1">
      <alignment horizontal="right" vertical="center" wrapText="1"/>
    </xf>
    <xf numFmtId="8" fontId="8" fillId="0" borderId="10" xfId="0" applyNumberFormat="1" applyFont="1" applyBorder="1" applyAlignment="1">
      <alignment vertical="center" wrapText="1"/>
    </xf>
    <xf numFmtId="8" fontId="8" fillId="0" borderId="9" xfId="2" applyNumberFormat="1" applyFont="1" applyBorder="1" applyAlignment="1">
      <alignment vertical="center"/>
    </xf>
    <xf numFmtId="8" fontId="8" fillId="0" borderId="9" xfId="2" applyNumberFormat="1" applyFont="1" applyBorder="1" applyAlignment="1"/>
    <xf numFmtId="0" fontId="10" fillId="0" borderId="31" xfId="0" applyFont="1" applyFill="1" applyBorder="1" applyAlignment="1">
      <alignment horizontal="center" wrapText="1"/>
    </xf>
    <xf numFmtId="0" fontId="8" fillId="0" borderId="9" xfId="0" applyFont="1" applyFill="1" applyBorder="1" applyAlignment="1">
      <alignment horizontal="center" vertical="center"/>
    </xf>
    <xf numFmtId="165" fontId="8" fillId="0" borderId="9" xfId="0" applyNumberFormat="1" applyFont="1" applyFill="1" applyBorder="1" applyAlignment="1">
      <alignment vertical="center"/>
    </xf>
    <xf numFmtId="44" fontId="8" fillId="0" borderId="9" xfId="2" applyNumberFormat="1" applyFont="1" applyFill="1" applyBorder="1" applyAlignment="1">
      <alignment vertical="center"/>
    </xf>
    <xf numFmtId="169" fontId="8" fillId="0" borderId="9" xfId="0" applyNumberFormat="1" applyFont="1" applyFill="1" applyBorder="1" applyAlignment="1">
      <alignment horizontal="center" vertical="center"/>
    </xf>
    <xf numFmtId="169" fontId="8" fillId="0" borderId="8" xfId="0" applyNumberFormat="1" applyFont="1" applyFill="1" applyBorder="1" applyAlignment="1">
      <alignment vertical="center"/>
    </xf>
    <xf numFmtId="0" fontId="10" fillId="0" borderId="9" xfId="0" applyFont="1" applyFill="1" applyBorder="1" applyAlignment="1">
      <alignment horizontal="right"/>
    </xf>
    <xf numFmtId="44" fontId="8" fillId="0" borderId="9" xfId="2" applyNumberFormat="1" applyFont="1" applyFill="1" applyBorder="1"/>
    <xf numFmtId="165" fontId="8" fillId="0" borderId="14" xfId="1" applyNumberFormat="1" applyFont="1" applyFill="1" applyBorder="1" applyAlignment="1">
      <alignment horizontal="center" vertical="center"/>
    </xf>
    <xf numFmtId="44" fontId="8" fillId="0" borderId="9" xfId="2" applyFont="1" applyFill="1" applyBorder="1" applyAlignment="1">
      <alignment vertical="center"/>
    </xf>
    <xf numFmtId="8" fontId="8" fillId="0" borderId="9" xfId="2" applyNumberFormat="1" applyFont="1" applyFill="1" applyBorder="1" applyAlignment="1">
      <alignment vertical="center"/>
    </xf>
    <xf numFmtId="8" fontId="8" fillId="0" borderId="9" xfId="2" applyNumberFormat="1" applyFont="1" applyFill="1" applyBorder="1"/>
    <xf numFmtId="0" fontId="4" fillId="0" borderId="10" xfId="0" applyFont="1" applyBorder="1" applyAlignment="1">
      <alignment horizontal="center" vertical="center"/>
    </xf>
    <xf numFmtId="0" fontId="4" fillId="0" borderId="13"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vertical="center"/>
    </xf>
    <xf numFmtId="165" fontId="0" fillId="0" borderId="14" xfId="1" applyNumberFormat="1" applyFont="1" applyBorder="1" applyAlignment="1">
      <alignment horizontal="center" vertical="center"/>
    </xf>
    <xf numFmtId="0" fontId="4" fillId="0" borderId="9" xfId="0" applyFont="1" applyBorder="1" applyAlignment="1">
      <alignment horizontal="center" wrapText="1"/>
    </xf>
    <xf numFmtId="0" fontId="4" fillId="0" borderId="31" xfId="0" applyFont="1" applyFill="1" applyBorder="1" applyAlignment="1">
      <alignment horizontal="center" wrapText="1"/>
    </xf>
    <xf numFmtId="44" fontId="0" fillId="0" borderId="9" xfId="2" applyFont="1" applyFill="1" applyBorder="1" applyAlignment="1">
      <alignment horizontal="center"/>
    </xf>
    <xf numFmtId="44" fontId="0" fillId="0" borderId="9" xfId="2" applyFont="1" applyFill="1" applyBorder="1" applyAlignment="1">
      <alignment horizontal="center" vertical="center"/>
    </xf>
    <xf numFmtId="8" fontId="0" fillId="0" borderId="9" xfId="2" applyNumberFormat="1" applyFont="1" applyFill="1" applyBorder="1" applyAlignment="1">
      <alignment vertical="center"/>
    </xf>
    <xf numFmtId="0" fontId="0" fillId="0" borderId="9" xfId="0" applyFont="1" applyFill="1" applyBorder="1" applyAlignment="1">
      <alignment horizontal="center" vertical="center"/>
    </xf>
    <xf numFmtId="0" fontId="0" fillId="0" borderId="10" xfId="0" applyFont="1" applyFill="1" applyBorder="1" applyAlignment="1">
      <alignment horizontal="left"/>
    </xf>
    <xf numFmtId="0" fontId="0" fillId="0" borderId="14" xfId="0" applyFont="1" applyFill="1" applyBorder="1" applyAlignment="1">
      <alignment horizontal="left"/>
    </xf>
    <xf numFmtId="0" fontId="0" fillId="0" borderId="13" xfId="0" applyFont="1" applyFill="1" applyBorder="1" applyAlignment="1">
      <alignment horizontal="left"/>
    </xf>
    <xf numFmtId="44" fontId="0" fillId="0" borderId="10" xfId="2" applyFont="1" applyFill="1" applyBorder="1" applyAlignment="1">
      <alignment horizontal="center"/>
    </xf>
    <xf numFmtId="2" fontId="0" fillId="0" borderId="9" xfId="2" applyNumberFormat="1" applyFont="1" applyFill="1" applyBorder="1" applyAlignment="1">
      <alignment horizontal="center" vertical="center"/>
    </xf>
    <xf numFmtId="0" fontId="0" fillId="0" borderId="0" xfId="0" applyFill="1" applyAlignment="1">
      <alignment vertical="center"/>
    </xf>
    <xf numFmtId="44" fontId="0" fillId="0" borderId="0" xfId="0" applyNumberFormat="1" applyFill="1" applyAlignment="1">
      <alignment vertical="center"/>
    </xf>
    <xf numFmtId="0" fontId="0" fillId="0" borderId="9" xfId="0" applyFont="1" applyBorder="1" applyAlignment="1">
      <alignment horizontal="center" wrapText="1"/>
    </xf>
    <xf numFmtId="165" fontId="0" fillId="0" borderId="10" xfId="0" applyNumberFormat="1" applyFont="1" applyFill="1" applyBorder="1" applyAlignment="1">
      <alignment wrapText="1"/>
    </xf>
    <xf numFmtId="165" fontId="0" fillId="0" borderId="14" xfId="0" applyNumberFormat="1" applyFont="1" applyFill="1" applyBorder="1" applyAlignment="1">
      <alignment wrapText="1"/>
    </xf>
    <xf numFmtId="165" fontId="0" fillId="0" borderId="13" xfId="0" applyNumberFormat="1" applyFont="1" applyFill="1" applyBorder="1" applyAlignment="1">
      <alignment wrapText="1"/>
    </xf>
    <xf numFmtId="0" fontId="0" fillId="0" borderId="9" xfId="0" applyFont="1" applyFill="1" applyBorder="1" applyAlignment="1">
      <alignment wrapText="1"/>
    </xf>
    <xf numFmtId="0" fontId="0" fillId="0" borderId="9" xfId="0" applyFont="1" applyFill="1" applyBorder="1" applyAlignment="1">
      <alignment horizontal="right" wrapText="1"/>
    </xf>
    <xf numFmtId="44" fontId="0" fillId="0" borderId="9" xfId="2" applyNumberFormat="1" applyFont="1" applyFill="1" applyBorder="1" applyAlignment="1">
      <alignment wrapText="1"/>
    </xf>
    <xf numFmtId="0" fontId="0" fillId="0" borderId="9" xfId="0" applyFont="1" applyFill="1" applyBorder="1" applyAlignment="1">
      <alignment horizontal="center" wrapText="1"/>
    </xf>
    <xf numFmtId="0" fontId="8" fillId="0" borderId="31" xfId="0" applyFont="1" applyBorder="1" applyAlignment="1">
      <alignment horizontal="center"/>
    </xf>
    <xf numFmtId="0" fontId="8" fillId="0" borderId="21" xfId="0" applyFont="1" applyFill="1" applyBorder="1" applyAlignment="1">
      <alignment horizontal="left" wrapText="1"/>
    </xf>
    <xf numFmtId="165" fontId="8" fillId="0" borderId="21" xfId="0" applyNumberFormat="1" applyFont="1" applyFill="1" applyBorder="1" applyAlignment="1"/>
    <xf numFmtId="165" fontId="10" fillId="0" borderId="21" xfId="0" applyNumberFormat="1" applyFont="1" applyFill="1" applyBorder="1" applyAlignment="1"/>
    <xf numFmtId="0" fontId="8" fillId="0" borderId="21" xfId="0" applyFont="1" applyFill="1" applyBorder="1"/>
    <xf numFmtId="166" fontId="8" fillId="0" borderId="9" xfId="0" applyNumberFormat="1" applyFont="1" applyFill="1" applyBorder="1"/>
    <xf numFmtId="8" fontId="8" fillId="0" borderId="21" xfId="2" applyNumberFormat="1" applyFont="1" applyFill="1" applyBorder="1"/>
    <xf numFmtId="0" fontId="8" fillId="0" borderId="22" xfId="0" applyFont="1" applyFill="1" applyBorder="1" applyAlignment="1">
      <alignment horizontal="center"/>
    </xf>
    <xf numFmtId="44" fontId="0" fillId="0" borderId="0" xfId="2" applyFont="1" applyFill="1"/>
    <xf numFmtId="0" fontId="8" fillId="0" borderId="0" xfId="0" applyFont="1" applyFill="1" applyAlignment="1">
      <alignment horizontal="left" vertical="center" wrapText="1"/>
    </xf>
    <xf numFmtId="0" fontId="10" fillId="0" borderId="10" xfId="0" applyFont="1" applyFill="1" applyBorder="1" applyAlignment="1">
      <alignment vertical="center"/>
    </xf>
    <xf numFmtId="0" fontId="8" fillId="0" borderId="14" xfId="0" applyFont="1" applyFill="1" applyBorder="1" applyAlignment="1">
      <alignment vertical="center"/>
    </xf>
    <xf numFmtId="0" fontId="15" fillId="0" borderId="0" xfId="0" applyFont="1"/>
    <xf numFmtId="0" fontId="0" fillId="0" borderId="0" xfId="0" applyAlignment="1">
      <alignment horizontal="center"/>
    </xf>
    <xf numFmtId="164" fontId="0" fillId="0" borderId="0" xfId="0" applyNumberFormat="1" applyBorder="1" applyAlignment="1">
      <alignment horizontal="right"/>
    </xf>
    <xf numFmtId="0" fontId="0" fillId="0" borderId="0" xfId="0" applyAlignment="1">
      <alignment horizontal="right"/>
    </xf>
    <xf numFmtId="0" fontId="10" fillId="0" borderId="8" xfId="0" applyFont="1" applyFill="1" applyBorder="1" applyAlignment="1">
      <alignment horizontal="center"/>
    </xf>
    <xf numFmtId="0" fontId="10" fillId="0" borderId="23" xfId="0" applyFont="1" applyFill="1" applyBorder="1" applyAlignment="1">
      <alignment horizontal="center" wrapText="1"/>
    </xf>
    <xf numFmtId="0" fontId="15" fillId="0" borderId="0" xfId="0" applyFont="1" applyAlignment="1"/>
    <xf numFmtId="44" fontId="8" fillId="0" borderId="9" xfId="2" applyFont="1" applyFill="1" applyBorder="1" applyAlignment="1">
      <alignment horizontal="center"/>
    </xf>
    <xf numFmtId="0" fontId="8" fillId="0" borderId="10" xfId="0" applyFont="1" applyFill="1" applyBorder="1"/>
    <xf numFmtId="0" fontId="8" fillId="0" borderId="13" xfId="0" applyFont="1" applyFill="1" applyBorder="1" applyAlignment="1">
      <alignment horizontal="left"/>
    </xf>
    <xf numFmtId="2" fontId="8" fillId="0" borderId="9" xfId="2" applyNumberFormat="1" applyFont="1" applyFill="1" applyBorder="1" applyAlignment="1">
      <alignment horizontal="center"/>
    </xf>
    <xf numFmtId="0" fontId="8" fillId="0" borderId="9" xfId="0" applyFont="1" applyFill="1" applyBorder="1" applyAlignment="1">
      <alignment horizontal="left"/>
    </xf>
    <xf numFmtId="0" fontId="8" fillId="0" borderId="9" xfId="0" applyFont="1" applyFill="1" applyBorder="1" applyAlignment="1">
      <alignment horizontal="right"/>
    </xf>
    <xf numFmtId="164" fontId="0" fillId="0" borderId="0" xfId="0" applyNumberFormat="1" applyAlignment="1">
      <alignment horizontal="right"/>
    </xf>
    <xf numFmtId="165" fontId="10" fillId="0" borderId="9" xfId="0" applyNumberFormat="1" applyFont="1" applyFill="1" applyBorder="1" applyAlignment="1"/>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3" xfId="0" applyFont="1" applyFill="1" applyBorder="1" applyAlignment="1">
      <alignment horizontal="center" vertical="center"/>
    </xf>
    <xf numFmtId="0" fontId="0" fillId="0" borderId="0" xfId="0" applyFill="1" applyAlignment="1">
      <alignment horizontal="center"/>
    </xf>
    <xf numFmtId="0" fontId="4" fillId="0" borderId="9" xfId="0" applyFont="1" applyFill="1" applyBorder="1" applyAlignment="1">
      <alignment horizontal="center"/>
    </xf>
    <xf numFmtId="0" fontId="4" fillId="0" borderId="10" xfId="0" applyFont="1" applyFill="1" applyBorder="1" applyAlignment="1">
      <alignment horizontal="center"/>
    </xf>
    <xf numFmtId="0" fontId="4" fillId="0" borderId="9" xfId="0" applyFont="1" applyFill="1" applyBorder="1" applyAlignment="1">
      <alignment horizontal="center" wrapText="1"/>
    </xf>
    <xf numFmtId="44" fontId="0" fillId="0" borderId="9" xfId="0" applyNumberFormat="1" applyFont="1" applyFill="1" applyBorder="1"/>
    <xf numFmtId="3" fontId="0" fillId="0" borderId="9" xfId="0" applyNumberFormat="1" applyFont="1" applyFill="1" applyBorder="1"/>
    <xf numFmtId="166" fontId="0" fillId="0" borderId="9" xfId="0" applyNumberFormat="1" applyFont="1" applyFill="1" applyBorder="1"/>
    <xf numFmtId="2" fontId="0" fillId="0" borderId="9" xfId="0" applyNumberFormat="1" applyFont="1" applyFill="1" applyBorder="1"/>
    <xf numFmtId="0" fontId="0" fillId="0" borderId="10" xfId="0" applyFont="1" applyFill="1" applyBorder="1" applyAlignment="1"/>
    <xf numFmtId="0" fontId="0" fillId="0" borderId="14" xfId="0" applyFont="1" applyFill="1" applyBorder="1" applyAlignment="1"/>
    <xf numFmtId="0" fontId="0" fillId="0" borderId="13" xfId="0" applyFont="1" applyFill="1" applyBorder="1" applyAlignment="1"/>
    <xf numFmtId="0" fontId="0" fillId="0" borderId="21" xfId="0" applyFont="1" applyBorder="1"/>
    <xf numFmtId="165" fontId="10" fillId="0" borderId="9" xfId="0" applyNumberFormat="1" applyFont="1" applyBorder="1" applyAlignment="1"/>
    <xf numFmtId="0" fontId="0" fillId="0" borderId="21" xfId="0" applyFont="1" applyBorder="1" applyAlignment="1">
      <alignment horizontal="center"/>
    </xf>
    <xf numFmtId="166" fontId="8" fillId="0" borderId="9" xfId="0" applyNumberFormat="1" applyFont="1" applyBorder="1"/>
    <xf numFmtId="44" fontId="0" fillId="0" borderId="9" xfId="0" applyNumberFormat="1" applyFont="1" applyBorder="1"/>
    <xf numFmtId="0" fontId="0" fillId="0" borderId="9" xfId="0" applyFont="1" applyBorder="1" applyAlignment="1"/>
    <xf numFmtId="0" fontId="8" fillId="0" borderId="14" xfId="0" applyFont="1" applyFill="1" applyBorder="1" applyAlignment="1">
      <alignment vertical="center" wrapText="1"/>
    </xf>
    <xf numFmtId="0" fontId="8" fillId="0" borderId="9" xfId="0" applyFont="1" applyFill="1" applyBorder="1" applyAlignment="1">
      <alignment vertical="center" wrapText="1"/>
    </xf>
    <xf numFmtId="0" fontId="8" fillId="0" borderId="9" xfId="0" applyFont="1" applyFill="1" applyBorder="1" applyAlignment="1">
      <alignment horizontal="left" vertical="center" wrapText="1"/>
    </xf>
    <xf numFmtId="44" fontId="0" fillId="0" borderId="0" xfId="2" applyFont="1" applyAlignment="1">
      <alignment wrapText="1"/>
    </xf>
    <xf numFmtId="0" fontId="8" fillId="0" borderId="9" xfId="0" applyFont="1" applyFill="1" applyBorder="1" applyAlignment="1">
      <alignment vertical="center"/>
    </xf>
    <xf numFmtId="0" fontId="8" fillId="0" borderId="14" xfId="0" applyFont="1" applyBorder="1" applyAlignment="1">
      <alignment vertical="center"/>
    </xf>
    <xf numFmtId="44" fontId="8" fillId="0" borderId="9" xfId="2" applyFont="1" applyFill="1" applyBorder="1" applyAlignment="1">
      <alignment horizontal="center" vertical="center"/>
    </xf>
    <xf numFmtId="2" fontId="8" fillId="0" borderId="9" xfId="0" applyNumberFormat="1" applyFont="1" applyFill="1" applyBorder="1" applyAlignment="1">
      <alignment horizontal="center" vertical="center"/>
    </xf>
    <xf numFmtId="0" fontId="8" fillId="0" borderId="9" xfId="0" applyFont="1" applyBorder="1" applyAlignment="1">
      <alignment horizontal="left"/>
    </xf>
    <xf numFmtId="0" fontId="15" fillId="0" borderId="9" xfId="0" applyFont="1" applyBorder="1" applyAlignment="1">
      <alignment horizontal="center"/>
    </xf>
    <xf numFmtId="0" fontId="15" fillId="0" borderId="9" xfId="0" applyFont="1" applyBorder="1"/>
    <xf numFmtId="0" fontId="15" fillId="0" borderId="9" xfId="0" applyFont="1" applyFill="1" applyBorder="1"/>
    <xf numFmtId="0" fontId="0" fillId="0" borderId="0" xfId="0" applyFill="1" applyAlignment="1"/>
    <xf numFmtId="0" fontId="8" fillId="0" borderId="0" xfId="0" applyFont="1" applyFill="1" applyAlignment="1">
      <alignment vertical="center"/>
    </xf>
    <xf numFmtId="0" fontId="8" fillId="0" borderId="10" xfId="0" applyFont="1" applyBorder="1" applyAlignment="1">
      <alignment horizontal="left"/>
    </xf>
    <xf numFmtId="0" fontId="8" fillId="0" borderId="14" xfId="0" applyFont="1" applyBorder="1" applyAlignment="1">
      <alignment horizontal="left"/>
    </xf>
    <xf numFmtId="0" fontId="8" fillId="0" borderId="13" xfId="0" applyFont="1" applyBorder="1" applyAlignment="1">
      <alignment horizontal="left"/>
    </xf>
    <xf numFmtId="165" fontId="8" fillId="0" borderId="10" xfId="0" applyNumberFormat="1" applyFont="1" applyFill="1" applyBorder="1" applyAlignment="1">
      <alignment vertical="center"/>
    </xf>
    <xf numFmtId="44" fontId="8" fillId="0" borderId="14" xfId="2" applyFont="1" applyFill="1" applyBorder="1" applyAlignment="1">
      <alignment vertical="center"/>
    </xf>
    <xf numFmtId="169" fontId="8" fillId="0" borderId="14" xfId="0" applyNumberFormat="1" applyFont="1" applyFill="1" applyBorder="1" applyAlignment="1">
      <alignment horizontal="center" vertical="center"/>
    </xf>
    <xf numFmtId="169" fontId="8" fillId="0" borderId="20" xfId="0" applyNumberFormat="1" applyFont="1" applyFill="1" applyBorder="1" applyAlignment="1">
      <alignment vertical="center"/>
    </xf>
    <xf numFmtId="164" fontId="8" fillId="0" borderId="9" xfId="2" applyNumberFormat="1" applyFont="1" applyFill="1" applyBorder="1" applyAlignment="1">
      <alignment vertical="center"/>
    </xf>
    <xf numFmtId="165" fontId="8" fillId="0" borderId="10" xfId="0" applyNumberFormat="1" applyFont="1" applyBorder="1" applyAlignment="1"/>
    <xf numFmtId="165" fontId="8" fillId="0" borderId="14" xfId="0" applyNumberFormat="1" applyFont="1" applyBorder="1" applyAlignment="1"/>
    <xf numFmtId="165" fontId="8" fillId="0" borderId="13" xfId="0" applyNumberFormat="1" applyFont="1" applyBorder="1" applyAlignment="1"/>
    <xf numFmtId="0" fontId="8" fillId="0" borderId="9" xfId="0" applyNumberFormat="1" applyFont="1" applyFill="1" applyBorder="1" applyAlignment="1">
      <alignment horizontal="center"/>
    </xf>
    <xf numFmtId="0" fontId="8" fillId="0" borderId="10" xfId="0" applyFont="1" applyFill="1" applyBorder="1" applyAlignment="1">
      <alignment horizontal="left"/>
    </xf>
    <xf numFmtId="0" fontId="8" fillId="0" borderId="14" xfId="0" applyFont="1" applyFill="1" applyBorder="1" applyAlignment="1">
      <alignment horizontal="left"/>
    </xf>
    <xf numFmtId="0" fontId="10" fillId="0" borderId="9" xfId="0" applyFont="1" applyBorder="1" applyAlignment="1">
      <alignment horizontal="center" vertical="center"/>
    </xf>
    <xf numFmtId="37" fontId="8" fillId="0" borderId="9" xfId="2" applyNumberFormat="1" applyFont="1" applyFill="1" applyBorder="1" applyAlignment="1">
      <alignment horizontal="center"/>
    </xf>
    <xf numFmtId="44" fontId="8" fillId="0" borderId="9" xfId="0" applyNumberFormat="1" applyFont="1" applyFill="1" applyBorder="1" applyAlignment="1">
      <alignment horizontal="center"/>
    </xf>
    <xf numFmtId="44" fontId="8" fillId="0" borderId="9" xfId="2" applyNumberFormat="1" applyFont="1" applyFill="1" applyBorder="1" applyAlignment="1">
      <alignment horizontal="center"/>
    </xf>
    <xf numFmtId="44" fontId="8" fillId="0" borderId="9" xfId="2" applyFont="1" applyBorder="1" applyAlignment="1">
      <alignment horizontal="center"/>
    </xf>
    <xf numFmtId="0" fontId="10" fillId="0" borderId="14" xfId="0" applyFont="1" applyFill="1" applyBorder="1" applyAlignment="1">
      <alignment vertical="center"/>
    </xf>
    <xf numFmtId="3" fontId="8" fillId="0" borderId="14" xfId="0" applyNumberFormat="1" applyFont="1" applyFill="1" applyBorder="1" applyAlignment="1">
      <alignment vertical="center"/>
    </xf>
    <xf numFmtId="0" fontId="0" fillId="0" borderId="10" xfId="0" applyFont="1" applyFill="1" applyBorder="1" applyAlignment="1">
      <alignment horizontal="center" vertical="center"/>
    </xf>
    <xf numFmtId="0" fontId="0" fillId="0" borderId="13" xfId="0" applyFont="1" applyFill="1" applyBorder="1" applyAlignment="1">
      <alignment vertical="center"/>
    </xf>
    <xf numFmtId="3" fontId="0" fillId="0" borderId="14" xfId="0" applyNumberFormat="1" applyFont="1" applyFill="1" applyBorder="1" applyAlignment="1">
      <alignment vertical="center"/>
    </xf>
    <xf numFmtId="0" fontId="4" fillId="0" borderId="8" xfId="0" applyFont="1" applyFill="1" applyBorder="1" applyAlignment="1">
      <alignment horizontal="center"/>
    </xf>
    <xf numFmtId="0" fontId="4" fillId="0" borderId="23" xfId="0" applyFont="1" applyFill="1" applyBorder="1" applyAlignment="1">
      <alignment horizontal="center" wrapText="1"/>
    </xf>
    <xf numFmtId="0" fontId="0" fillId="0" borderId="10" xfId="0" applyFont="1" applyFill="1" applyBorder="1"/>
    <xf numFmtId="0" fontId="0" fillId="0" borderId="9" xfId="0" applyFont="1" applyFill="1" applyBorder="1" applyAlignment="1">
      <alignment horizontal="left"/>
    </xf>
    <xf numFmtId="0" fontId="0" fillId="0" borderId="31" xfId="0" applyFont="1" applyFill="1" applyBorder="1" applyAlignment="1">
      <alignment horizontal="center"/>
    </xf>
    <xf numFmtId="0" fontId="0" fillId="0" borderId="21" xfId="0" applyFont="1" applyFill="1" applyBorder="1" applyAlignment="1">
      <alignment horizontal="center"/>
    </xf>
    <xf numFmtId="0" fontId="0" fillId="0" borderId="21" xfId="0" applyFont="1" applyFill="1" applyBorder="1"/>
    <xf numFmtId="0" fontId="0" fillId="0" borderId="0" xfId="0" applyFont="1" applyFill="1"/>
    <xf numFmtId="0" fontId="4" fillId="0" borderId="21" xfId="0" applyFont="1" applyFill="1" applyBorder="1" applyAlignment="1">
      <alignment horizontal="right"/>
    </xf>
    <xf numFmtId="44" fontId="0" fillId="0" borderId="21" xfId="2" applyFont="1" applyFill="1" applyBorder="1"/>
    <xf numFmtId="164" fontId="0" fillId="0" borderId="0" xfId="0" applyNumberFormat="1" applyFill="1" applyAlignment="1">
      <alignment horizontal="right"/>
    </xf>
    <xf numFmtId="0" fontId="0" fillId="0" borderId="0" xfId="0" applyFill="1" applyAlignment="1">
      <alignment horizontal="right"/>
    </xf>
    <xf numFmtId="0" fontId="4" fillId="0" borderId="10" xfId="0" applyFont="1" applyFill="1" applyBorder="1" applyAlignment="1">
      <alignment horizontal="left"/>
    </xf>
    <xf numFmtId="0" fontId="4" fillId="0" borderId="14" xfId="0" applyFont="1" applyFill="1" applyBorder="1" applyAlignment="1">
      <alignment horizontal="left"/>
    </xf>
    <xf numFmtId="0" fontId="4" fillId="0" borderId="13" xfId="0" applyFont="1" applyFill="1" applyBorder="1" applyAlignment="1">
      <alignment horizontal="left"/>
    </xf>
    <xf numFmtId="166" fontId="0" fillId="0" borderId="10" xfId="0" applyNumberFormat="1" applyFont="1" applyFill="1" applyBorder="1"/>
    <xf numFmtId="0" fontId="4" fillId="0" borderId="9" xfId="0" applyFont="1" applyFill="1" applyBorder="1"/>
    <xf numFmtId="165" fontId="8" fillId="0" borderId="10" xfId="0" applyNumberFormat="1" applyFont="1" applyFill="1" applyBorder="1" applyAlignment="1"/>
    <xf numFmtId="165" fontId="8" fillId="0" borderId="14" xfId="0" applyNumberFormat="1" applyFont="1" applyFill="1" applyBorder="1" applyAlignment="1"/>
    <xf numFmtId="165" fontId="8" fillId="0" borderId="13" xfId="0" applyNumberFormat="1" applyFont="1" applyFill="1" applyBorder="1" applyAlignment="1"/>
    <xf numFmtId="44" fontId="0" fillId="0" borderId="10" xfId="0" applyNumberFormat="1" applyFont="1" applyFill="1" applyBorder="1"/>
    <xf numFmtId="165" fontId="8" fillId="0" borderId="9" xfId="0" applyNumberFormat="1" applyFont="1" applyFill="1" applyBorder="1" applyAlignment="1">
      <alignment horizontal="center"/>
    </xf>
    <xf numFmtId="164" fontId="8" fillId="0" borderId="9" xfId="2" applyNumberFormat="1" applyFont="1" applyFill="1" applyBorder="1" applyAlignment="1">
      <alignment horizontal="right"/>
    </xf>
    <xf numFmtId="8" fontId="8" fillId="0" borderId="9" xfId="2" applyNumberFormat="1" applyFont="1" applyFill="1" applyBorder="1" applyAlignment="1"/>
    <xf numFmtId="0" fontId="8" fillId="0" borderId="9" xfId="0" applyFont="1" applyFill="1" applyBorder="1" applyAlignment="1"/>
    <xf numFmtId="0" fontId="10" fillId="0" borderId="9" xfId="0" applyFont="1" applyFill="1" applyBorder="1" applyAlignment="1"/>
    <xf numFmtId="165" fontId="0" fillId="0" borderId="14" xfId="1" applyNumberFormat="1" applyFont="1" applyFill="1" applyBorder="1" applyAlignment="1">
      <alignment vertical="center"/>
    </xf>
    <xf numFmtId="165" fontId="8" fillId="0" borderId="9" xfId="0" applyNumberFormat="1" applyFont="1" applyFill="1" applyBorder="1" applyAlignment="1"/>
    <xf numFmtId="44" fontId="8" fillId="0" borderId="9" xfId="2" applyFont="1" applyFill="1" applyBorder="1" applyAlignment="1"/>
    <xf numFmtId="169" fontId="8" fillId="0" borderId="9" xfId="0" applyNumberFormat="1" applyFont="1" applyFill="1" applyBorder="1" applyAlignment="1">
      <alignment horizontal="center"/>
    </xf>
    <xf numFmtId="169" fontId="8" fillId="0" borderId="8" xfId="0" applyNumberFormat="1" applyFont="1" applyFill="1" applyBorder="1" applyAlignment="1"/>
    <xf numFmtId="0" fontId="8" fillId="0" borderId="9" xfId="0" applyFont="1" applyFill="1" applyBorder="1" applyAlignment="1">
      <alignment wrapText="1"/>
    </xf>
    <xf numFmtId="0" fontId="8" fillId="0" borderId="9" xfId="0" applyFont="1" applyFill="1" applyBorder="1" applyAlignment="1">
      <alignment horizontal="center" wrapText="1"/>
    </xf>
    <xf numFmtId="0" fontId="8" fillId="0" borderId="13" xfId="0" applyFont="1" applyFill="1" applyBorder="1" applyAlignment="1">
      <alignment horizontal="center" wrapText="1"/>
    </xf>
    <xf numFmtId="44" fontId="0" fillId="0" borderId="0" xfId="2" applyFont="1"/>
    <xf numFmtId="8" fontId="8" fillId="0" borderId="9" xfId="0" applyNumberFormat="1" applyFont="1" applyFill="1" applyBorder="1" applyAlignment="1">
      <alignment wrapText="1"/>
    </xf>
    <xf numFmtId="0" fontId="10" fillId="0" borderId="10" xfId="0" applyFont="1" applyFill="1" applyBorder="1" applyAlignment="1">
      <alignment horizontal="center"/>
    </xf>
    <xf numFmtId="0" fontId="8" fillId="0" borderId="9" xfId="0" applyFont="1" applyBorder="1" applyAlignment="1">
      <alignment horizontal="center" wrapText="1"/>
    </xf>
    <xf numFmtId="164" fontId="8" fillId="0" borderId="9" xfId="0" applyNumberFormat="1" applyFont="1" applyFill="1" applyBorder="1" applyAlignment="1">
      <alignment wrapText="1"/>
    </xf>
    <xf numFmtId="0" fontId="8" fillId="0" borderId="10" xfId="0" applyFont="1" applyBorder="1" applyAlignment="1">
      <alignment horizontal="center" wrapText="1"/>
    </xf>
    <xf numFmtId="0" fontId="8" fillId="0" borderId="13" xfId="0" applyFont="1" applyBorder="1" applyAlignment="1">
      <alignment horizontal="center" wrapText="1"/>
    </xf>
    <xf numFmtId="8" fontId="8" fillId="0" borderId="9" xfId="0" applyNumberFormat="1" applyFont="1" applyBorder="1" applyAlignment="1">
      <alignment wrapText="1"/>
    </xf>
    <xf numFmtId="44" fontId="1" fillId="0" borderId="9" xfId="2" applyFont="1" applyFill="1" applyBorder="1" applyAlignment="1"/>
    <xf numFmtId="0" fontId="8" fillId="0" borderId="10" xfId="0" applyFont="1" applyBorder="1" applyAlignment="1">
      <alignment horizontal="center"/>
    </xf>
    <xf numFmtId="44" fontId="8" fillId="0" borderId="13" xfId="2" applyFont="1" applyBorder="1" applyAlignment="1"/>
    <xf numFmtId="0" fontId="8" fillId="0" borderId="9" xfId="0" applyFont="1" applyBorder="1" applyAlignment="1">
      <alignment horizontal="left" wrapText="1"/>
    </xf>
    <xf numFmtId="44" fontId="8" fillId="0" borderId="14" xfId="2" applyFont="1" applyBorder="1"/>
    <xf numFmtId="0" fontId="8" fillId="0" borderId="14" xfId="0" applyFont="1" applyBorder="1" applyAlignment="1">
      <alignment horizontal="center"/>
    </xf>
    <xf numFmtId="0" fontId="8" fillId="0" borderId="13" xfId="0" applyFont="1" applyFill="1" applyBorder="1" applyAlignment="1">
      <alignment horizontal="center"/>
    </xf>
    <xf numFmtId="0" fontId="4" fillId="0" borderId="13" xfId="0" applyFont="1" applyBorder="1" applyAlignment="1">
      <alignment horizontal="center" wrapText="1"/>
    </xf>
    <xf numFmtId="8" fontId="0" fillId="0" borderId="0" xfId="0" applyNumberFormat="1" applyFont="1"/>
    <xf numFmtId="0" fontId="0" fillId="0" borderId="0" xfId="0" applyFill="1" applyAlignment="1">
      <alignment wrapText="1"/>
    </xf>
    <xf numFmtId="3" fontId="8" fillId="0" borderId="10" xfId="0" applyNumberFormat="1" applyFont="1" applyFill="1" applyBorder="1"/>
    <xf numFmtId="0" fontId="8" fillId="0" borderId="14" xfId="0" applyFont="1" applyFill="1" applyBorder="1" applyAlignment="1">
      <alignment horizontal="center"/>
    </xf>
    <xf numFmtId="3" fontId="8" fillId="0" borderId="32" xfId="0" applyNumberFormat="1" applyFont="1" applyFill="1" applyBorder="1"/>
    <xf numFmtId="0" fontId="8" fillId="0" borderId="0" xfId="0" applyFont="1" applyFill="1" applyBorder="1" applyAlignment="1">
      <alignment horizontal="center" vertical="center" wrapText="1"/>
    </xf>
    <xf numFmtId="0" fontId="8" fillId="0" borderId="0" xfId="0" applyFont="1" applyBorder="1" applyAlignment="1">
      <alignment horizontal="center"/>
    </xf>
    <xf numFmtId="0" fontId="0" fillId="0" borderId="0" xfId="0" applyAlignment="1">
      <alignment horizontal="center" vertical="center"/>
    </xf>
    <xf numFmtId="165" fontId="1" fillId="0" borderId="14" xfId="1" applyNumberFormat="1" applyFont="1" applyFill="1" applyBorder="1" applyAlignment="1">
      <alignment horizontal="center" vertical="center"/>
    </xf>
    <xf numFmtId="0" fontId="10" fillId="0" borderId="0" xfId="0" applyFont="1" applyFill="1" applyAlignment="1">
      <alignment horizontal="center"/>
    </xf>
    <xf numFmtId="0" fontId="10" fillId="0" borderId="10" xfId="0" applyFont="1" applyFill="1" applyBorder="1" applyAlignment="1">
      <alignment horizontal="center" wrapText="1"/>
    </xf>
    <xf numFmtId="0" fontId="10" fillId="0" borderId="13" xfId="0" applyFont="1" applyFill="1" applyBorder="1" applyAlignment="1">
      <alignment wrapText="1"/>
    </xf>
    <xf numFmtId="166" fontId="8" fillId="0" borderId="9" xfId="0" applyNumberFormat="1" applyFont="1" applyFill="1" applyBorder="1" applyAlignment="1">
      <alignment horizontal="center" wrapText="1"/>
    </xf>
    <xf numFmtId="0" fontId="0" fillId="0" borderId="0" xfId="0" applyFill="1" applyBorder="1" applyAlignment="1">
      <alignment horizontal="center"/>
    </xf>
    <xf numFmtId="164" fontId="0" fillId="0" borderId="0" xfId="0" applyNumberFormat="1" applyFill="1" applyBorder="1" applyAlignment="1">
      <alignment horizontal="right"/>
    </xf>
    <xf numFmtId="0" fontId="0" fillId="0" borderId="0" xfId="0" applyFill="1" applyBorder="1" applyAlignment="1">
      <alignment horizontal="right"/>
    </xf>
    <xf numFmtId="0" fontId="10" fillId="0" borderId="23" xfId="0" applyFont="1" applyBorder="1" applyAlignment="1">
      <alignment horizontal="center" wrapText="1"/>
    </xf>
    <xf numFmtId="0" fontId="8" fillId="0" borderId="9" xfId="0" applyNumberFormat="1" applyFont="1" applyFill="1" applyBorder="1" applyAlignment="1">
      <alignment horizontal="center" vertical="center"/>
    </xf>
    <xf numFmtId="44" fontId="8" fillId="0" borderId="14" xfId="2" applyFont="1" applyFill="1" applyBorder="1" applyAlignment="1">
      <alignment horizontal="center"/>
    </xf>
    <xf numFmtId="0" fontId="8" fillId="0" borderId="14" xfId="0" applyFont="1" applyFill="1" applyBorder="1" applyAlignment="1">
      <alignment horizontal="center" vertical="center"/>
    </xf>
    <xf numFmtId="169" fontId="8" fillId="0" borderId="13" xfId="0" applyNumberFormat="1" applyFont="1" applyFill="1" applyBorder="1" applyAlignment="1">
      <alignment horizontal="center" vertical="center"/>
    </xf>
    <xf numFmtId="166" fontId="8" fillId="0" borderId="9" xfId="0" applyNumberFormat="1" applyFont="1" applyFill="1" applyBorder="1" applyAlignment="1">
      <alignment horizontal="right" vertical="center" wrapText="1"/>
    </xf>
    <xf numFmtId="166" fontId="8" fillId="0" borderId="9" xfId="0" applyNumberFormat="1" applyFont="1" applyFill="1" applyBorder="1" applyAlignment="1">
      <alignment horizontal="center" vertical="center" wrapText="1"/>
    </xf>
    <xf numFmtId="0" fontId="0" fillId="0" borderId="14" xfId="0" applyFont="1" applyFill="1" applyBorder="1" applyAlignment="1">
      <alignment vertical="center" wrapText="1"/>
    </xf>
    <xf numFmtId="165" fontId="0" fillId="0" borderId="14" xfId="1" applyNumberFormat="1" applyFont="1" applyFill="1" applyBorder="1" applyAlignment="1">
      <alignment horizontal="center" vertical="center"/>
    </xf>
    <xf numFmtId="0" fontId="4" fillId="0" borderId="9" xfId="0" applyFont="1" applyBorder="1" applyAlignment="1">
      <alignment horizontal="center"/>
    </xf>
    <xf numFmtId="44" fontId="0" fillId="0" borderId="8" xfId="0" applyNumberFormat="1" applyFont="1" applyFill="1" applyBorder="1" applyAlignment="1">
      <alignment horizontal="center"/>
    </xf>
    <xf numFmtId="0" fontId="0" fillId="0" borderId="19" xfId="0" applyFont="1" applyFill="1" applyBorder="1" applyAlignment="1">
      <alignment horizontal="center"/>
    </xf>
    <xf numFmtId="0" fontId="0" fillId="0" borderId="20" xfId="0" applyFont="1" applyFill="1" applyBorder="1" applyAlignment="1">
      <alignment horizontal="center"/>
    </xf>
    <xf numFmtId="164" fontId="0" fillId="0" borderId="8" xfId="0" applyNumberFormat="1" applyFont="1" applyFill="1" applyBorder="1" applyAlignment="1">
      <alignment horizontal="center"/>
    </xf>
    <xf numFmtId="44" fontId="0" fillId="0" borderId="8" xfId="2" applyFont="1" applyFill="1" applyBorder="1" applyAlignment="1">
      <alignment horizontal="center"/>
    </xf>
    <xf numFmtId="0" fontId="0" fillId="0" borderId="13" xfId="0" applyFont="1" applyFill="1" applyBorder="1" applyAlignment="1">
      <alignment wrapText="1"/>
    </xf>
    <xf numFmtId="0" fontId="0" fillId="0" borderId="19" xfId="0" applyFont="1" applyFill="1" applyBorder="1" applyAlignment="1">
      <alignment wrapText="1"/>
    </xf>
    <xf numFmtId="0" fontId="0" fillId="0" borderId="1" xfId="0" applyFont="1" applyFill="1" applyBorder="1" applyAlignment="1">
      <alignment wrapText="1"/>
    </xf>
    <xf numFmtId="44" fontId="0" fillId="0" borderId="9" xfId="2" applyFont="1" applyFill="1" applyBorder="1" applyAlignment="1">
      <alignment horizontal="center" wrapText="1"/>
    </xf>
    <xf numFmtId="164" fontId="0" fillId="0" borderId="9" xfId="2" applyNumberFormat="1" applyFont="1" applyFill="1" applyBorder="1" applyAlignment="1">
      <alignment horizontal="center"/>
    </xf>
    <xf numFmtId="164" fontId="0" fillId="0" borderId="9" xfId="2" applyNumberFormat="1" applyFont="1" applyBorder="1"/>
    <xf numFmtId="0" fontId="4" fillId="0" borderId="9" xfId="0" applyFont="1" applyBorder="1"/>
    <xf numFmtId="0" fontId="0" fillId="0" borderId="0" xfId="0" applyFont="1" applyAlignment="1">
      <alignment horizontal="center"/>
    </xf>
    <xf numFmtId="164" fontId="0" fillId="0" borderId="0" xfId="0" applyNumberFormat="1" applyFont="1" applyAlignment="1">
      <alignment horizontal="right"/>
    </xf>
    <xf numFmtId="0" fontId="0" fillId="0" borderId="0" xfId="0" applyFont="1" applyAlignment="1">
      <alignment horizontal="right"/>
    </xf>
    <xf numFmtId="0" fontId="10" fillId="0" borderId="31" xfId="0" applyFont="1" applyBorder="1" applyAlignment="1">
      <alignment horizontal="center" wrapText="1"/>
    </xf>
    <xf numFmtId="170" fontId="8" fillId="0" borderId="14" xfId="0" applyNumberFormat="1" applyFont="1" applyBorder="1" applyAlignment="1">
      <alignment vertical="center" wrapText="1"/>
    </xf>
    <xf numFmtId="0" fontId="8" fillId="0" borderId="13" xfId="0" applyFont="1" applyBorder="1" applyAlignment="1">
      <alignment vertical="center" wrapText="1"/>
    </xf>
    <xf numFmtId="165" fontId="8" fillId="0" borderId="14" xfId="1" applyNumberFormat="1" applyFont="1" applyBorder="1" applyAlignment="1">
      <alignment horizontal="center" vertical="center"/>
    </xf>
    <xf numFmtId="166" fontId="8" fillId="0" borderId="10" xfId="0" applyNumberFormat="1" applyFont="1" applyFill="1" applyBorder="1" applyAlignment="1">
      <alignment horizontal="center"/>
    </xf>
    <xf numFmtId="8" fontId="8" fillId="0" borderId="9" xfId="2" applyNumberFormat="1" applyFont="1" applyFill="1" applyBorder="1" applyAlignment="1">
      <alignment horizontal="right"/>
    </xf>
    <xf numFmtId="165" fontId="8" fillId="0" borderId="9" xfId="1" applyNumberFormat="1" applyFont="1" applyFill="1" applyBorder="1" applyAlignment="1">
      <alignment horizontal="center"/>
    </xf>
    <xf numFmtId="0" fontId="8" fillId="0" borderId="10" xfId="0" applyFont="1" applyFill="1" applyBorder="1" applyAlignment="1">
      <alignment horizontal="center"/>
    </xf>
    <xf numFmtId="0" fontId="4" fillId="0" borderId="13" xfId="0" applyFont="1" applyBorder="1" applyAlignment="1">
      <alignment horizontal="center" vertical="center" wrapText="1"/>
    </xf>
    <xf numFmtId="0" fontId="8" fillId="0" borderId="9" xfId="0" applyNumberFormat="1" applyFont="1" applyBorder="1" applyAlignment="1">
      <alignment vertical="center" wrapText="1"/>
    </xf>
    <xf numFmtId="0" fontId="8" fillId="0" borderId="9" xfId="0" applyFont="1" applyBorder="1" applyAlignment="1">
      <alignment horizontal="left" vertical="top" wrapText="1"/>
    </xf>
    <xf numFmtId="0" fontId="10" fillId="0" borderId="0" xfId="0" applyFont="1" applyAlignment="1">
      <alignment horizontal="center"/>
    </xf>
    <xf numFmtId="44" fontId="8" fillId="0" borderId="14" xfId="2" applyFont="1" applyBorder="1" applyAlignment="1">
      <alignment horizontal="center"/>
    </xf>
    <xf numFmtId="0" fontId="8" fillId="0" borderId="14" xfId="0" applyFont="1" applyBorder="1" applyAlignment="1">
      <alignment horizontal="center" vertical="center"/>
    </xf>
    <xf numFmtId="9" fontId="8" fillId="0" borderId="10" xfId="0" applyNumberFormat="1" applyFont="1" applyFill="1" applyBorder="1"/>
    <xf numFmtId="0" fontId="8" fillId="0" borderId="13" xfId="0" applyFont="1" applyFill="1" applyBorder="1" applyAlignment="1">
      <alignment horizontal="left" wrapText="1"/>
    </xf>
    <xf numFmtId="2" fontId="8" fillId="0" borderId="9" xfId="0" applyNumberFormat="1" applyFont="1" applyFill="1" applyBorder="1" applyAlignment="1">
      <alignment horizontal="center"/>
    </xf>
    <xf numFmtId="0" fontId="8" fillId="0" borderId="10" xfId="0" applyNumberFormat="1" applyFont="1" applyFill="1" applyBorder="1"/>
    <xf numFmtId="9" fontId="8" fillId="0" borderId="9" xfId="0" applyNumberFormat="1" applyFont="1" applyFill="1" applyBorder="1"/>
    <xf numFmtId="0" fontId="8" fillId="0" borderId="9" xfId="0" applyFont="1" applyFill="1" applyBorder="1" applyAlignment="1">
      <alignment horizontal="left" wrapText="1"/>
    </xf>
    <xf numFmtId="0" fontId="19" fillId="0" borderId="9" xfId="0" applyFont="1" applyFill="1" applyBorder="1" applyAlignment="1">
      <alignment horizontal="center" vertical="center"/>
    </xf>
    <xf numFmtId="44" fontId="8" fillId="0" borderId="8" xfId="0" applyNumberFormat="1" applyFont="1" applyFill="1" applyBorder="1" applyAlignment="1">
      <alignment horizontal="center"/>
    </xf>
    <xf numFmtId="165" fontId="8" fillId="0" borderId="19" xfId="0" applyNumberFormat="1" applyFont="1" applyFill="1" applyBorder="1" applyAlignment="1">
      <alignment horizontal="center"/>
    </xf>
    <xf numFmtId="0" fontId="8" fillId="0" borderId="20" xfId="0" applyFont="1" applyFill="1" applyBorder="1" applyAlignment="1">
      <alignment horizontal="center"/>
    </xf>
    <xf numFmtId="2" fontId="8" fillId="0" borderId="13" xfId="0" applyNumberFormat="1" applyFont="1" applyFill="1" applyBorder="1" applyAlignment="1">
      <alignment horizontal="center"/>
    </xf>
    <xf numFmtId="44" fontId="8" fillId="0" borderId="8" xfId="2" applyFont="1" applyFill="1" applyBorder="1" applyAlignment="1">
      <alignment horizontal="center"/>
    </xf>
    <xf numFmtId="165" fontId="0" fillId="0" borderId="9" xfId="1" applyNumberFormat="1" applyFont="1" applyFill="1" applyBorder="1" applyAlignment="1">
      <alignment vertical="center"/>
    </xf>
    <xf numFmtId="165" fontId="8" fillId="0" borderId="13" xfId="1" applyNumberFormat="1" applyFont="1" applyFill="1" applyBorder="1" applyAlignment="1">
      <alignment vertical="center"/>
    </xf>
    <xf numFmtId="165" fontId="8" fillId="0" borderId="14" xfId="0" applyNumberFormat="1" applyFont="1" applyFill="1" applyBorder="1" applyAlignment="1">
      <alignment vertical="center" wrapText="1"/>
    </xf>
    <xf numFmtId="0" fontId="8" fillId="0" borderId="13" xfId="0" applyFont="1" applyFill="1" applyBorder="1" applyAlignment="1">
      <alignment vertical="center" wrapText="1"/>
    </xf>
    <xf numFmtId="0" fontId="10" fillId="0" borderId="13" xfId="0" applyFont="1" applyFill="1" applyBorder="1" applyAlignment="1">
      <alignment horizontal="center" vertical="center" wrapText="1"/>
    </xf>
    <xf numFmtId="44" fontId="1" fillId="0" borderId="9" xfId="2" applyFont="1" applyFill="1" applyBorder="1" applyAlignment="1">
      <alignment horizontal="center" vertical="center"/>
    </xf>
    <xf numFmtId="3" fontId="8" fillId="0" borderId="9" xfId="0" applyNumberFormat="1" applyFont="1" applyFill="1" applyBorder="1" applyAlignment="1">
      <alignment horizontal="center" vertical="center" wrapText="1"/>
    </xf>
    <xf numFmtId="8" fontId="8" fillId="0" borderId="13" xfId="0" applyNumberFormat="1" applyFont="1" applyFill="1" applyBorder="1" applyAlignment="1">
      <alignment horizontal="right" vertical="center" wrapText="1"/>
    </xf>
    <xf numFmtId="165" fontId="0" fillId="0" borderId="13" xfId="1" applyNumberFormat="1" applyFont="1" applyFill="1" applyBorder="1" applyAlignment="1">
      <alignment vertical="center"/>
    </xf>
    <xf numFmtId="0" fontId="10" fillId="0" borderId="13" xfId="0" applyFont="1" applyFill="1" applyBorder="1" applyAlignment="1">
      <alignment horizontal="center" wrapText="1"/>
    </xf>
    <xf numFmtId="0" fontId="10" fillId="0" borderId="13" xfId="0" applyFont="1" applyFill="1" applyBorder="1" applyAlignment="1">
      <alignment vertical="center"/>
    </xf>
    <xf numFmtId="0" fontId="10" fillId="0" borderId="19" xfId="0" applyFont="1" applyFill="1" applyBorder="1" applyAlignment="1">
      <alignment horizontal="center"/>
    </xf>
    <xf numFmtId="0" fontId="10" fillId="0" borderId="20" xfId="0" applyFont="1" applyFill="1" applyBorder="1" applyAlignment="1">
      <alignment horizontal="center"/>
    </xf>
    <xf numFmtId="164" fontId="8" fillId="0" borderId="8" xfId="0" applyNumberFormat="1" applyFont="1" applyFill="1" applyBorder="1" applyAlignment="1">
      <alignment horizontal="center"/>
    </xf>
    <xf numFmtId="3" fontId="8" fillId="0" borderId="10" xfId="0" applyNumberFormat="1" applyFont="1" applyFill="1" applyBorder="1" applyAlignment="1">
      <alignment horizontal="center"/>
    </xf>
    <xf numFmtId="16" fontId="8" fillId="0" borderId="9" xfId="0" quotePrefix="1" applyNumberFormat="1" applyFont="1" applyFill="1" applyBorder="1" applyAlignment="1">
      <alignment horizontal="center"/>
    </xf>
    <xf numFmtId="0" fontId="8" fillId="0" borderId="8" xfId="0" applyNumberFormat="1" applyFont="1" applyFill="1" applyBorder="1" applyAlignment="1">
      <alignment horizontal="center"/>
    </xf>
    <xf numFmtId="164" fontId="8" fillId="0" borderId="9" xfId="2" applyNumberFormat="1" applyFont="1" applyFill="1" applyBorder="1" applyAlignment="1">
      <alignment horizontal="center"/>
    </xf>
    <xf numFmtId="164" fontId="8" fillId="0" borderId="9" xfId="2" applyNumberFormat="1" applyFont="1" applyFill="1" applyBorder="1"/>
    <xf numFmtId="165" fontId="8" fillId="0" borderId="9" xfId="0" applyNumberFormat="1" applyFont="1" applyFill="1" applyBorder="1" applyAlignment="1">
      <alignment horizontal="center" vertical="center"/>
    </xf>
    <xf numFmtId="0" fontId="8" fillId="0" borderId="9" xfId="0" applyNumberFormat="1" applyFont="1" applyBorder="1" applyAlignment="1">
      <alignment horizontal="center" vertical="center"/>
    </xf>
    <xf numFmtId="165" fontId="8" fillId="0" borderId="9" xfId="1" applyNumberFormat="1" applyFont="1" applyBorder="1" applyAlignment="1">
      <alignment horizontal="center" vertical="center"/>
    </xf>
    <xf numFmtId="169" fontId="8" fillId="0" borderId="9" xfId="0" applyNumberFormat="1" applyFont="1" applyBorder="1" applyAlignment="1">
      <alignment horizontal="center" vertical="center"/>
    </xf>
    <xf numFmtId="165" fontId="8" fillId="0" borderId="14" xfId="0" applyNumberFormat="1" applyFont="1" applyBorder="1" applyAlignment="1">
      <alignment vertical="center" wrapText="1"/>
    </xf>
    <xf numFmtId="37" fontId="8" fillId="0" borderId="14" xfId="1" applyNumberFormat="1" applyFont="1" applyFill="1" applyBorder="1" applyAlignment="1">
      <alignment vertical="center"/>
    </xf>
    <xf numFmtId="3" fontId="8" fillId="0" borderId="19" xfId="0" applyNumberFormat="1" applyFont="1" applyFill="1" applyBorder="1" applyAlignment="1">
      <alignment horizontal="center"/>
    </xf>
    <xf numFmtId="0" fontId="10" fillId="0" borderId="8" xfId="0" applyFont="1" applyBorder="1" applyAlignment="1">
      <alignment horizontal="center"/>
    </xf>
    <xf numFmtId="0" fontId="8" fillId="0" borderId="10" xfId="0" applyNumberFormat="1" applyFont="1" applyFill="1" applyBorder="1" applyAlignment="1">
      <alignment horizontal="center"/>
    </xf>
    <xf numFmtId="44" fontId="0" fillId="0" borderId="0" xfId="0" applyNumberFormat="1" applyFill="1" applyBorder="1" applyAlignment="1">
      <alignment horizontal="left" vertical="top" wrapText="1"/>
    </xf>
    <xf numFmtId="0" fontId="8" fillId="0" borderId="10" xfId="0" applyNumberFormat="1" applyFont="1" applyBorder="1" applyAlignment="1">
      <alignment horizontal="center"/>
    </xf>
    <xf numFmtId="166" fontId="8" fillId="0" borderId="9" xfId="2" applyNumberFormat="1" applyFont="1" applyFill="1" applyBorder="1" applyAlignment="1">
      <alignment horizontal="center"/>
    </xf>
    <xf numFmtId="164" fontId="8" fillId="0" borderId="9" xfId="2" applyNumberFormat="1" applyFont="1" applyBorder="1" applyAlignment="1">
      <alignment horizontal="center"/>
    </xf>
    <xf numFmtId="0" fontId="10" fillId="0" borderId="9" xfId="0" applyNumberFormat="1" applyFont="1" applyBorder="1"/>
    <xf numFmtId="44" fontId="8" fillId="0" borderId="0" xfId="2" applyFont="1" applyBorder="1"/>
    <xf numFmtId="164" fontId="15" fillId="0" borderId="0" xfId="0" applyNumberFormat="1" applyFont="1"/>
    <xf numFmtId="0" fontId="4" fillId="0" borderId="24" xfId="0" applyFont="1" applyBorder="1"/>
    <xf numFmtId="164" fontId="4" fillId="0" borderId="24" xfId="0" applyNumberFormat="1" applyFont="1" applyBorder="1" applyAlignment="1">
      <alignment horizontal="center" wrapText="1"/>
    </xf>
    <xf numFmtId="0" fontId="4" fillId="0" borderId="24" xfId="0" applyFont="1" applyBorder="1" applyAlignment="1">
      <alignment horizontal="center"/>
    </xf>
    <xf numFmtId="0" fontId="4" fillId="0" borderId="24" xfId="0" applyFont="1" applyBorder="1" applyAlignment="1">
      <alignment horizontal="center" wrapText="1"/>
    </xf>
    <xf numFmtId="0" fontId="4" fillId="0" borderId="25" xfId="0" applyFont="1" applyBorder="1" applyAlignment="1">
      <alignment horizontal="center" wrapText="1"/>
    </xf>
    <xf numFmtId="0" fontId="4" fillId="0" borderId="0" xfId="0" applyFont="1" applyAlignment="1">
      <alignment horizontal="right"/>
    </xf>
    <xf numFmtId="0" fontId="0" fillId="0" borderId="9" xfId="0" applyFill="1" applyBorder="1" applyAlignment="1">
      <alignment wrapText="1"/>
    </xf>
    <xf numFmtId="164" fontId="8" fillId="0" borderId="9" xfId="0" applyNumberFormat="1" applyFont="1" applyFill="1" applyBorder="1" applyAlignment="1">
      <alignment horizontal="right"/>
    </xf>
    <xf numFmtId="2" fontId="0" fillId="0" borderId="12" xfId="0" applyNumberFormat="1" applyFill="1" applyBorder="1" applyAlignment="1">
      <alignment horizontal="center"/>
    </xf>
    <xf numFmtId="170" fontId="8" fillId="0" borderId="10" xfId="0" applyNumberFormat="1" applyFont="1" applyBorder="1" applyAlignment="1">
      <alignment horizontal="center"/>
    </xf>
    <xf numFmtId="164" fontId="15" fillId="0" borderId="0" xfId="0" applyNumberFormat="1" applyFont="1" applyAlignment="1"/>
    <xf numFmtId="0" fontId="8" fillId="0" borderId="9" xfId="0" applyNumberFormat="1" applyFont="1" applyBorder="1"/>
    <xf numFmtId="166" fontId="8" fillId="0" borderId="9" xfId="0" applyNumberFormat="1" applyFont="1" applyFill="1" applyBorder="1" applyAlignment="1">
      <alignment horizontal="center"/>
    </xf>
    <xf numFmtId="164" fontId="22" fillId="0" borderId="0" xfId="0" applyNumberFormat="1" applyFont="1" applyAlignment="1">
      <alignment horizontal="right"/>
    </xf>
    <xf numFmtId="2" fontId="0" fillId="0" borderId="9" xfId="0" applyNumberFormat="1" applyFill="1" applyBorder="1" applyAlignment="1">
      <alignment horizontal="center"/>
    </xf>
    <xf numFmtId="166" fontId="8" fillId="0" borderId="13" xfId="0" applyNumberFormat="1" applyFont="1" applyFill="1" applyBorder="1" applyAlignment="1">
      <alignment horizontal="center"/>
    </xf>
    <xf numFmtId="0" fontId="0" fillId="0" borderId="9" xfId="0" applyFill="1" applyBorder="1" applyAlignment="1"/>
    <xf numFmtId="0" fontId="0" fillId="0" borderId="9" xfId="0" applyFill="1" applyBorder="1" applyAlignment="1">
      <alignment vertical="center" wrapText="1"/>
    </xf>
    <xf numFmtId="0" fontId="0" fillId="0" borderId="9" xfId="0" applyBorder="1" applyAlignment="1">
      <alignment wrapText="1"/>
    </xf>
    <xf numFmtId="0" fontId="0" fillId="0" borderId="9" xfId="0" applyBorder="1" applyAlignment="1">
      <alignment horizontal="center"/>
    </xf>
    <xf numFmtId="3" fontId="8" fillId="0" borderId="10" xfId="0" applyNumberFormat="1" applyFont="1" applyBorder="1" applyAlignment="1">
      <alignment horizontal="center"/>
    </xf>
    <xf numFmtId="0" fontId="10" fillId="0" borderId="19" xfId="0" applyFont="1" applyBorder="1" applyAlignment="1">
      <alignment horizontal="center"/>
    </xf>
    <xf numFmtId="0" fontId="10" fillId="0" borderId="20" xfId="0" applyFont="1" applyBorder="1" applyAlignment="1">
      <alignment horizontal="center"/>
    </xf>
    <xf numFmtId="170" fontId="8" fillId="0" borderId="10" xfId="0" applyNumberFormat="1" applyFont="1" applyFill="1" applyBorder="1" applyAlignment="1">
      <alignment horizontal="center"/>
    </xf>
    <xf numFmtId="0" fontId="8" fillId="0" borderId="9" xfId="0" applyNumberFormat="1" applyFont="1" applyFill="1" applyBorder="1"/>
    <xf numFmtId="171" fontId="8" fillId="0" borderId="10" xfId="0" applyNumberFormat="1" applyFont="1" applyFill="1" applyBorder="1" applyAlignment="1">
      <alignment horizontal="center"/>
    </xf>
    <xf numFmtId="0" fontId="0" fillId="0" borderId="14" xfId="0" applyFont="1" applyFill="1" applyBorder="1" applyAlignment="1">
      <alignment vertical="center"/>
    </xf>
    <xf numFmtId="3" fontId="0" fillId="0" borderId="10" xfId="0" applyNumberFormat="1" applyFont="1" applyFill="1" applyBorder="1" applyAlignment="1">
      <alignment horizontal="center"/>
    </xf>
    <xf numFmtId="0" fontId="0" fillId="0" borderId="13" xfId="0" applyFont="1" applyFill="1" applyBorder="1" applyAlignment="1">
      <alignment horizontal="center" wrapText="1"/>
    </xf>
    <xf numFmtId="166" fontId="0" fillId="0" borderId="13" xfId="0" applyNumberFormat="1" applyFont="1" applyFill="1" applyBorder="1" applyAlignment="1">
      <alignment horizontal="center"/>
    </xf>
    <xf numFmtId="0" fontId="0" fillId="0" borderId="10" xfId="0" applyFont="1" applyFill="1" applyBorder="1" applyAlignment="1">
      <alignment horizontal="center"/>
    </xf>
    <xf numFmtId="0" fontId="0" fillId="0" borderId="9" xfId="0" applyNumberFormat="1" applyFont="1" applyFill="1" applyBorder="1"/>
    <xf numFmtId="0" fontId="0" fillId="0" borderId="9" xfId="0" applyFont="1" applyFill="1" applyBorder="1" applyAlignment="1">
      <alignment horizontal="left" wrapText="1"/>
    </xf>
    <xf numFmtId="0" fontId="10" fillId="0" borderId="23" xfId="0" applyFont="1" applyBorder="1" applyAlignment="1"/>
    <xf numFmtId="164" fontId="0" fillId="0" borderId="0" xfId="0" applyNumberFormat="1" applyFont="1" applyFill="1" applyBorder="1" applyAlignment="1">
      <alignment vertical="top" wrapText="1"/>
    </xf>
    <xf numFmtId="2" fontId="10" fillId="0" borderId="9" xfId="0" applyNumberFormat="1" applyFont="1" applyFill="1" applyBorder="1" applyAlignment="1">
      <alignment horizontal="center"/>
    </xf>
    <xf numFmtId="3" fontId="0" fillId="0" borderId="0" xfId="0" applyNumberFormat="1" applyFont="1" applyFill="1" applyAlignment="1">
      <alignment horizontal="center"/>
    </xf>
    <xf numFmtId="1" fontId="8" fillId="0" borderId="10" xfId="0" applyNumberFormat="1" applyFont="1" applyFill="1" applyBorder="1" applyAlignment="1">
      <alignment horizontal="center"/>
    </xf>
    <xf numFmtId="0" fontId="4" fillId="0" borderId="10" xfId="0" applyFont="1" applyBorder="1" applyAlignment="1">
      <alignment horizontal="center"/>
    </xf>
    <xf numFmtId="0" fontId="4" fillId="0" borderId="13" xfId="0" applyFont="1" applyBorder="1" applyAlignment="1">
      <alignment horizontal="center"/>
    </xf>
    <xf numFmtId="0" fontId="8" fillId="0" borderId="35" xfId="0" applyFont="1" applyBorder="1" applyAlignment="1">
      <alignment vertical="top" wrapText="1"/>
    </xf>
    <xf numFmtId="0" fontId="8" fillId="0" borderId="30" xfId="0" applyFont="1" applyBorder="1" applyAlignment="1">
      <alignment vertical="top" wrapText="1"/>
    </xf>
    <xf numFmtId="0" fontId="8" fillId="0" borderId="29" xfId="0" applyFont="1" applyBorder="1" applyAlignment="1">
      <alignment vertical="top" wrapText="1"/>
    </xf>
    <xf numFmtId="0" fontId="8" fillId="0" borderId="0" xfId="0" applyFont="1"/>
    <xf numFmtId="2" fontId="0" fillId="0" borderId="9" xfId="0" applyNumberFormat="1" applyFont="1" applyFill="1" applyBorder="1" applyAlignment="1">
      <alignment horizontal="center"/>
    </xf>
    <xf numFmtId="44" fontId="0" fillId="0" borderId="9" xfId="2" applyFont="1" applyBorder="1" applyAlignment="1">
      <alignment horizontal="center"/>
    </xf>
    <xf numFmtId="165" fontId="0" fillId="0" borderId="9" xfId="1" applyNumberFormat="1" applyFont="1" applyBorder="1"/>
    <xf numFmtId="0" fontId="0" fillId="0" borderId="9" xfId="0" applyFont="1" applyBorder="1" applyAlignment="1">
      <alignment horizontal="left" wrapText="1"/>
    </xf>
    <xf numFmtId="166" fontId="0" fillId="0" borderId="9" xfId="0" applyNumberFormat="1" applyFont="1" applyFill="1" applyBorder="1" applyAlignment="1">
      <alignment horizontal="center"/>
    </xf>
    <xf numFmtId="165" fontId="0" fillId="0" borderId="9" xfId="1" applyNumberFormat="1" applyFont="1" applyBorder="1" applyAlignment="1">
      <alignment horizontal="center"/>
    </xf>
    <xf numFmtId="9" fontId="0" fillId="0" borderId="9" xfId="0" applyNumberFormat="1" applyFont="1" applyBorder="1"/>
    <xf numFmtId="0" fontId="8" fillId="0" borderId="10" xfId="0" applyFont="1" applyBorder="1" applyAlignment="1">
      <alignment horizontal="left" wrapText="1"/>
    </xf>
    <xf numFmtId="0" fontId="8" fillId="0" borderId="14" xfId="0" applyFont="1" applyBorder="1" applyAlignment="1">
      <alignment horizontal="left" wrapText="1"/>
    </xf>
    <xf numFmtId="0" fontId="8" fillId="0" borderId="13" xfId="0" applyFont="1" applyBorder="1" applyAlignment="1">
      <alignment horizontal="left" wrapText="1"/>
    </xf>
    <xf numFmtId="2" fontId="8" fillId="0" borderId="10" xfId="0" applyNumberFormat="1" applyFont="1" applyFill="1" applyBorder="1" applyAlignment="1">
      <alignment horizontal="center"/>
    </xf>
    <xf numFmtId="44" fontId="8" fillId="0" borderId="9" xfId="2" applyFont="1" applyBorder="1" applyAlignment="1">
      <alignment horizontal="right"/>
    </xf>
    <xf numFmtId="44" fontId="8" fillId="0" borderId="9" xfId="2" applyFont="1" applyFill="1" applyBorder="1" applyAlignment="1">
      <alignment horizontal="right"/>
    </xf>
    <xf numFmtId="164" fontId="8" fillId="0" borderId="8" xfId="0" applyNumberFormat="1" applyFont="1" applyFill="1" applyBorder="1" applyAlignment="1">
      <alignment horizontal="right"/>
    </xf>
    <xf numFmtId="2" fontId="8" fillId="0" borderId="19" xfId="0" applyNumberFormat="1" applyFont="1" applyFill="1" applyBorder="1" applyAlignment="1">
      <alignment horizontal="center"/>
    </xf>
    <xf numFmtId="164" fontId="0" fillId="0" borderId="0" xfId="0" applyNumberFormat="1" applyFont="1" applyFill="1" applyAlignment="1">
      <alignment wrapText="1"/>
    </xf>
    <xf numFmtId="0" fontId="0" fillId="0" borderId="0" xfId="0" applyAlignment="1">
      <alignment horizontal="center" wrapText="1"/>
    </xf>
    <xf numFmtId="164" fontId="0" fillId="0" borderId="0" xfId="0" applyNumberFormat="1" applyAlignment="1">
      <alignment horizontal="right" wrapText="1"/>
    </xf>
    <xf numFmtId="0" fontId="0" fillId="0" borderId="0" xfId="0" applyAlignment="1">
      <alignment horizontal="right" wrapText="1"/>
    </xf>
    <xf numFmtId="164" fontId="0" fillId="0" borderId="9" xfId="2" applyNumberFormat="1" applyFont="1" applyFill="1" applyBorder="1"/>
    <xf numFmtId="3" fontId="8" fillId="0" borderId="9" xfId="0" applyNumberFormat="1" applyFont="1" applyBorder="1"/>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173" fontId="8" fillId="0" borderId="10" xfId="0" applyNumberFormat="1" applyFont="1" applyFill="1" applyBorder="1"/>
    <xf numFmtId="0" fontId="0" fillId="0" borderId="13"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xf numFmtId="164" fontId="0" fillId="0" borderId="0" xfId="0" applyNumberFormat="1" applyFont="1" applyFill="1" applyBorder="1" applyAlignment="1">
      <alignment horizontal="right"/>
    </xf>
    <xf numFmtId="0" fontId="0" fillId="0" borderId="0" xfId="0" applyFont="1" applyFill="1" applyBorder="1" applyAlignment="1">
      <alignment horizontal="right"/>
    </xf>
    <xf numFmtId="44" fontId="8" fillId="0" borderId="0" xfId="2" applyFont="1" applyFill="1" applyBorder="1"/>
    <xf numFmtId="169" fontId="8" fillId="0" borderId="9" xfId="0" applyNumberFormat="1" applyFont="1" applyFill="1" applyBorder="1" applyAlignment="1">
      <alignment vertical="center"/>
    </xf>
    <xf numFmtId="165" fontId="8" fillId="0" borderId="13" xfId="1" applyNumberFormat="1" applyFont="1" applyFill="1" applyBorder="1" applyAlignment="1">
      <alignment horizontal="right" vertical="center"/>
    </xf>
    <xf numFmtId="0" fontId="8" fillId="0" borderId="39" xfId="0" applyFont="1" applyFill="1" applyBorder="1" applyAlignment="1">
      <alignment horizontal="center" vertical="center" wrapText="1"/>
    </xf>
    <xf numFmtId="0" fontId="0" fillId="0" borderId="39" xfId="0" applyFont="1" applyFill="1" applyBorder="1" applyAlignment="1">
      <alignment horizontal="center" vertical="center"/>
    </xf>
    <xf numFmtId="0" fontId="4" fillId="0" borderId="20" xfId="0" applyFont="1" applyFill="1" applyBorder="1" applyAlignment="1">
      <alignment horizontal="center" wrapText="1"/>
    </xf>
    <xf numFmtId="0" fontId="0" fillId="0" borderId="19" xfId="0" applyNumberFormat="1" applyFont="1" applyFill="1" applyBorder="1" applyAlignment="1">
      <alignment horizontal="center"/>
    </xf>
    <xf numFmtId="44" fontId="0" fillId="0" borderId="20" xfId="2" applyFont="1" applyFill="1" applyBorder="1" applyAlignment="1">
      <alignment horizontal="center"/>
    </xf>
    <xf numFmtId="0" fontId="0" fillId="0" borderId="10" xfId="0" applyNumberFormat="1" applyFont="1" applyFill="1" applyBorder="1"/>
    <xf numFmtId="44" fontId="0" fillId="0" borderId="13" xfId="2" applyFont="1" applyFill="1" applyBorder="1" applyAlignment="1">
      <alignment horizontal="left" wrapText="1"/>
    </xf>
    <xf numFmtId="174" fontId="0" fillId="0" borderId="9" xfId="2" applyNumberFormat="1" applyFont="1" applyFill="1" applyBorder="1"/>
    <xf numFmtId="3" fontId="0" fillId="0" borderId="13" xfId="0" applyNumberFormat="1" applyFont="1" applyFill="1" applyBorder="1" applyAlignment="1">
      <alignment vertical="center"/>
    </xf>
    <xf numFmtId="0" fontId="8" fillId="0" borderId="19" xfId="0" applyNumberFormat="1" applyFont="1" applyFill="1" applyBorder="1" applyAlignment="1">
      <alignment horizontal="center"/>
    </xf>
    <xf numFmtId="2" fontId="8" fillId="0" borderId="23" xfId="0" applyNumberFormat="1" applyFont="1" applyFill="1" applyBorder="1" applyAlignment="1">
      <alignment horizontal="center"/>
    </xf>
    <xf numFmtId="0" fontId="8" fillId="0" borderId="19" xfId="0" applyNumberFormat="1" applyFont="1" applyFill="1" applyBorder="1" applyAlignment="1">
      <alignment horizontal="right"/>
    </xf>
    <xf numFmtId="44" fontId="1" fillId="0" borderId="9" xfId="2" applyFont="1" applyFill="1" applyBorder="1"/>
    <xf numFmtId="44" fontId="0" fillId="0" borderId="9" xfId="2" applyFont="1" applyFill="1" applyBorder="1" applyAlignment="1">
      <alignment wrapText="1"/>
    </xf>
    <xf numFmtId="0" fontId="4" fillId="0" borderId="9" xfId="0" applyFont="1" applyFill="1" applyBorder="1" applyAlignment="1">
      <alignment horizontal="right"/>
    </xf>
    <xf numFmtId="165" fontId="0" fillId="0" borderId="9" xfId="1" applyNumberFormat="1" applyFont="1" applyFill="1" applyBorder="1" applyAlignment="1">
      <alignment horizontal="center" vertical="center"/>
    </xf>
    <xf numFmtId="0" fontId="0" fillId="0" borderId="9" xfId="0" applyFont="1" applyFill="1" applyBorder="1" applyAlignment="1"/>
    <xf numFmtId="8" fontId="8" fillId="0" borderId="9" xfId="0" applyNumberFormat="1" applyFont="1" applyFill="1" applyBorder="1" applyAlignment="1">
      <alignment vertical="center" wrapText="1"/>
    </xf>
    <xf numFmtId="0" fontId="8" fillId="0" borderId="9" xfId="0" applyNumberFormat="1" applyFont="1" applyFill="1" applyBorder="1" applyAlignment="1">
      <alignment vertical="center" wrapText="1"/>
    </xf>
    <xf numFmtId="0" fontId="0" fillId="0" borderId="14" xfId="0" applyFont="1" applyBorder="1" applyAlignment="1"/>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44" fontId="8" fillId="0" borderId="9" xfId="2" applyNumberFormat="1" applyFont="1" applyFill="1" applyBorder="1" applyAlignment="1">
      <alignment horizontal="right"/>
    </xf>
    <xf numFmtId="8" fontId="8" fillId="0" borderId="10" xfId="0" applyNumberFormat="1" applyFont="1" applyFill="1" applyBorder="1" applyAlignment="1">
      <alignment horizontal="center"/>
    </xf>
    <xf numFmtId="44" fontId="8" fillId="0" borderId="21" xfId="2" applyNumberFormat="1" applyFont="1" applyFill="1" applyBorder="1" applyAlignment="1">
      <alignment horizontal="right"/>
    </xf>
    <xf numFmtId="164" fontId="8" fillId="0" borderId="9" xfId="0" applyNumberFormat="1" applyFont="1" applyFill="1" applyBorder="1" applyAlignment="1">
      <alignment horizontal="center"/>
    </xf>
    <xf numFmtId="3" fontId="8" fillId="0" borderId="9" xfId="0" applyNumberFormat="1" applyFont="1" applyFill="1" applyBorder="1"/>
    <xf numFmtId="44" fontId="8" fillId="0" borderId="23" xfId="2" applyNumberFormat="1" applyFont="1" applyFill="1" applyBorder="1" applyAlignment="1">
      <alignment horizontal="right"/>
    </xf>
    <xf numFmtId="0" fontId="8" fillId="0" borderId="14" xfId="0" applyFont="1" applyFill="1" applyBorder="1"/>
    <xf numFmtId="0" fontId="8" fillId="0" borderId="14" xfId="0" applyFont="1" applyFill="1" applyBorder="1" applyAlignment="1">
      <alignment horizontal="right"/>
    </xf>
    <xf numFmtId="0" fontId="10" fillId="0" borderId="10" xfId="0" applyFont="1" applyFill="1" applyBorder="1" applyAlignment="1">
      <alignment horizontal="right"/>
    </xf>
    <xf numFmtId="8" fontId="8" fillId="0" borderId="9" xfId="0" applyNumberFormat="1" applyFont="1" applyFill="1" applyBorder="1" applyAlignment="1">
      <alignment horizontal="center"/>
    </xf>
    <xf numFmtId="165" fontId="8" fillId="0" borderId="9" xfId="0" applyNumberFormat="1" applyFont="1" applyBorder="1" applyAlignment="1">
      <alignment horizontal="right" vertical="center"/>
    </xf>
    <xf numFmtId="169" fontId="8" fillId="0" borderId="8" xfId="0" applyNumberFormat="1" applyFont="1" applyBorder="1" applyAlignment="1">
      <alignment vertical="center"/>
    </xf>
    <xf numFmtId="0" fontId="25" fillId="0" borderId="0" xfId="0" applyFont="1" applyFill="1" applyAlignment="1">
      <alignment horizontal="left" vertical="top"/>
    </xf>
    <xf numFmtId="0" fontId="8" fillId="0" borderId="14" xfId="0" applyFont="1" applyFill="1" applyBorder="1" applyAlignment="1">
      <alignment horizontal="center" vertical="center" wrapText="1"/>
    </xf>
    <xf numFmtId="44" fontId="0" fillId="0" borderId="9" xfId="2" applyNumberFormat="1" applyFont="1" applyFill="1" applyBorder="1"/>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xf numFmtId="0" fontId="0" fillId="0" borderId="13" xfId="0" applyFont="1" applyFill="1" applyBorder="1" applyAlignment="1">
      <alignment horizontal="center"/>
    </xf>
    <xf numFmtId="164" fontId="15" fillId="0" borderId="0" xfId="0" applyNumberFormat="1" applyFont="1" applyAlignment="1">
      <alignment vertical="center"/>
    </xf>
    <xf numFmtId="0" fontId="0" fillId="0" borderId="0" xfId="0" applyAlignment="1">
      <alignment horizontal="right" vertical="center"/>
    </xf>
    <xf numFmtId="3" fontId="8" fillId="0" borderId="13" xfId="0" applyNumberFormat="1" applyFont="1" applyFill="1" applyBorder="1" applyAlignment="1">
      <alignment vertical="center"/>
    </xf>
    <xf numFmtId="3" fontId="8" fillId="0" borderId="9" xfId="0" applyNumberFormat="1" applyFont="1" applyFill="1" applyBorder="1" applyAlignment="1"/>
    <xf numFmtId="0" fontId="0" fillId="0" borderId="9" xfId="0" applyNumberFormat="1" applyFont="1" applyFill="1" applyBorder="1" applyAlignment="1">
      <alignment horizontal="center"/>
    </xf>
    <xf numFmtId="0" fontId="0" fillId="0" borderId="15" xfId="0" applyFont="1" applyFill="1" applyBorder="1" applyAlignment="1">
      <alignment horizontal="center"/>
    </xf>
    <xf numFmtId="0" fontId="0" fillId="0" borderId="21" xfId="0" applyFont="1" applyFill="1" applyBorder="1" applyAlignment="1"/>
    <xf numFmtId="0" fontId="0" fillId="0" borderId="9" xfId="0" applyFont="1" applyFill="1" applyBorder="1" applyAlignment="1">
      <alignment horizontal="right"/>
    </xf>
    <xf numFmtId="3" fontId="0" fillId="0" borderId="21" xfId="0" applyNumberFormat="1" applyFont="1" applyFill="1" applyBorder="1" applyAlignment="1"/>
    <xf numFmtId="166" fontId="0" fillId="0" borderId="9" xfId="0" applyNumberFormat="1" applyFont="1" applyFill="1" applyBorder="1" applyAlignment="1"/>
    <xf numFmtId="3" fontId="8" fillId="0" borderId="9" xfId="0" applyNumberFormat="1" applyFont="1" applyFill="1" applyBorder="1" applyAlignment="1">
      <alignment vertical="center" wrapText="1"/>
    </xf>
    <xf numFmtId="8" fontId="8" fillId="0" borderId="13" xfId="0" applyNumberFormat="1" applyFont="1" applyFill="1" applyBorder="1" applyAlignment="1">
      <alignment vertical="center" wrapText="1"/>
    </xf>
    <xf numFmtId="8" fontId="8" fillId="0" borderId="9" xfId="2" applyNumberFormat="1" applyFont="1" applyFill="1" applyBorder="1" applyAlignment="1">
      <alignment horizontal="right" vertical="center"/>
    </xf>
    <xf numFmtId="0" fontId="4" fillId="0" borderId="10"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3" xfId="0" applyFont="1" applyFill="1" applyBorder="1" applyAlignment="1">
      <alignment vertical="center" wrapText="1"/>
    </xf>
    <xf numFmtId="0" fontId="4" fillId="0" borderId="19" xfId="0" applyFont="1" applyFill="1" applyBorder="1" applyAlignment="1">
      <alignment horizontal="center"/>
    </xf>
    <xf numFmtId="0" fontId="4" fillId="0" borderId="20" xfId="0" applyFont="1" applyFill="1" applyBorder="1" applyAlignment="1">
      <alignment horizontal="center"/>
    </xf>
    <xf numFmtId="44" fontId="0" fillId="0" borderId="9" xfId="0" applyNumberFormat="1" applyFont="1" applyFill="1" applyBorder="1" applyAlignment="1">
      <alignment horizontal="center"/>
    </xf>
    <xf numFmtId="3" fontId="8" fillId="0" borderId="9" xfId="0" applyNumberFormat="1" applyFont="1" applyFill="1" applyBorder="1" applyAlignment="1">
      <alignment horizontal="center"/>
    </xf>
    <xf numFmtId="44" fontId="0" fillId="0" borderId="15" xfId="2" applyFont="1" applyFill="1" applyBorder="1"/>
    <xf numFmtId="44" fontId="8" fillId="0" borderId="0" xfId="2" applyFont="1" applyFill="1"/>
    <xf numFmtId="3" fontId="8" fillId="0" borderId="14" xfId="0" applyNumberFormat="1" applyFont="1" applyFill="1" applyBorder="1" applyAlignment="1"/>
    <xf numFmtId="44" fontId="0" fillId="0" borderId="0" xfId="0" applyNumberFormat="1" applyFill="1" applyBorder="1"/>
    <xf numFmtId="0" fontId="8" fillId="0" borderId="14" xfId="0" applyFont="1" applyFill="1" applyBorder="1" applyAlignment="1"/>
    <xf numFmtId="0" fontId="19" fillId="0" borderId="19" xfId="0" applyFont="1" applyFill="1" applyBorder="1" applyAlignment="1">
      <alignment vertical="top" wrapText="1"/>
    </xf>
    <xf numFmtId="0" fontId="19" fillId="0" borderId="1" xfId="0" applyFont="1" applyFill="1" applyBorder="1" applyAlignment="1">
      <alignment vertical="top" wrapText="1"/>
    </xf>
    <xf numFmtId="0" fontId="19" fillId="0" borderId="20" xfId="0" applyFont="1" applyFill="1" applyBorder="1" applyAlignment="1">
      <alignment vertical="top" wrapText="1"/>
    </xf>
    <xf numFmtId="0" fontId="26" fillId="0" borderId="0" xfId="0" applyFont="1" applyFill="1" applyBorder="1" applyAlignment="1">
      <alignment horizontal="center" vertical="center"/>
    </xf>
    <xf numFmtId="165" fontId="8" fillId="0" borderId="8" xfId="1" applyNumberFormat="1" applyFont="1" applyFill="1" applyBorder="1" applyAlignment="1">
      <alignment horizontal="center"/>
    </xf>
    <xf numFmtId="0" fontId="8" fillId="0" borderId="19" xfId="0" applyFont="1" applyFill="1" applyBorder="1" applyAlignment="1">
      <alignment horizontal="center"/>
    </xf>
    <xf numFmtId="9" fontId="0" fillId="0" borderId="0" xfId="3" applyFont="1" applyBorder="1" applyAlignment="1"/>
    <xf numFmtId="44" fontId="0" fillId="0" borderId="0" xfId="0" applyNumberFormat="1" applyFill="1" applyBorder="1" applyAlignment="1"/>
    <xf numFmtId="37" fontId="0" fillId="0" borderId="10" xfId="2" applyNumberFormat="1" applyFont="1" applyFill="1" applyBorder="1"/>
    <xf numFmtId="39" fontId="0" fillId="0" borderId="13" xfId="2" applyNumberFormat="1" applyFont="1" applyFill="1" applyBorder="1" applyAlignment="1">
      <alignment horizontal="center" wrapText="1"/>
    </xf>
    <xf numFmtId="0" fontId="0" fillId="0" borderId="0" xfId="0" applyFont="1" applyFill="1" applyBorder="1" applyAlignment="1">
      <alignment wrapText="1"/>
    </xf>
    <xf numFmtId="165" fontId="8" fillId="0" borderId="14" xfId="1" applyNumberFormat="1" applyFont="1" applyFill="1" applyBorder="1" applyAlignment="1">
      <alignment horizontal="center"/>
    </xf>
    <xf numFmtId="0" fontId="8" fillId="0" borderId="14"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0" fontId="4" fillId="0" borderId="8" xfId="0" applyFont="1" applyBorder="1" applyAlignment="1">
      <alignment horizontal="center"/>
    </xf>
    <xf numFmtId="0" fontId="4" fillId="0" borderId="20" xfId="0" applyFont="1" applyBorder="1" applyAlignment="1">
      <alignment horizontal="center" wrapText="1"/>
    </xf>
    <xf numFmtId="0" fontId="0" fillId="0" borderId="19" xfId="0" applyNumberFormat="1" applyFont="1" applyBorder="1" applyAlignment="1">
      <alignment horizontal="center"/>
    </xf>
    <xf numFmtId="0" fontId="0" fillId="0" borderId="20" xfId="0" applyFont="1" applyBorder="1" applyAlignment="1">
      <alignment horizontal="center"/>
    </xf>
    <xf numFmtId="44" fontId="0" fillId="0" borderId="20" xfId="2" applyFont="1" applyBorder="1" applyAlignment="1">
      <alignment horizontal="center"/>
    </xf>
    <xf numFmtId="44" fontId="0" fillId="0" borderId="8" xfId="2" applyFont="1" applyBorder="1" applyAlignment="1">
      <alignment horizontal="center"/>
    </xf>
    <xf numFmtId="0" fontId="0" fillId="0" borderId="10" xfId="0" applyNumberFormat="1" applyFont="1" applyBorder="1"/>
    <xf numFmtId="0" fontId="0" fillId="0" borderId="13" xfId="0" applyFont="1" applyBorder="1" applyAlignment="1">
      <alignment horizontal="left" wrapText="1"/>
    </xf>
    <xf numFmtId="44" fontId="0" fillId="0" borderId="13" xfId="2" applyFont="1" applyBorder="1" applyAlignment="1">
      <alignment horizontal="left" wrapText="1"/>
    </xf>
    <xf numFmtId="0" fontId="0" fillId="0" borderId="10" xfId="0" applyFont="1" applyBorder="1" applyAlignment="1">
      <alignment horizontal="center"/>
    </xf>
    <xf numFmtId="44" fontId="0" fillId="0" borderId="10" xfId="2" applyFont="1" applyBorder="1"/>
    <xf numFmtId="44" fontId="0" fillId="0" borderId="10" xfId="0" applyNumberFormat="1" applyFont="1" applyBorder="1"/>
    <xf numFmtId="0" fontId="0" fillId="0" borderId="9" xfId="0" applyNumberFormat="1" applyFont="1" applyBorder="1"/>
    <xf numFmtId="0" fontId="27" fillId="0" borderId="9" xfId="0" applyFont="1" applyBorder="1" applyAlignment="1">
      <alignment horizontal="center"/>
    </xf>
    <xf numFmtId="0" fontId="27" fillId="0" borderId="10" xfId="0" applyFont="1" applyBorder="1" applyAlignment="1">
      <alignment horizontal="left"/>
    </xf>
    <xf numFmtId="0" fontId="27" fillId="0" borderId="14" xfId="0" applyFont="1" applyBorder="1" applyAlignment="1">
      <alignment horizontal="left"/>
    </xf>
    <xf numFmtId="0" fontId="4" fillId="0" borderId="14" xfId="0" applyFont="1" applyBorder="1" applyAlignment="1">
      <alignment horizontal="right"/>
    </xf>
    <xf numFmtId="0" fontId="27" fillId="0" borderId="13" xfId="0" applyFont="1" applyBorder="1" applyAlignment="1">
      <alignment horizontal="left"/>
    </xf>
    <xf numFmtId="3" fontId="0" fillId="0" borderId="14" xfId="0" applyNumberFormat="1" applyFont="1" applyFill="1" applyBorder="1" applyAlignment="1">
      <alignment horizontal="right" vertical="center"/>
    </xf>
    <xf numFmtId="0" fontId="0" fillId="0" borderId="10" xfId="0" applyNumberFormat="1" applyFont="1" applyFill="1" applyBorder="1" applyAlignment="1">
      <alignment horizontal="center"/>
    </xf>
    <xf numFmtId="3" fontId="0" fillId="0" borderId="9" xfId="0" applyNumberFormat="1" applyFont="1" applyFill="1" applyBorder="1" applyAlignment="1"/>
    <xf numFmtId="44" fontId="0" fillId="0" borderId="9" xfId="2" applyFont="1" applyFill="1" applyBorder="1" applyAlignment="1">
      <alignment horizontal="left" wrapText="1"/>
    </xf>
    <xf numFmtId="0" fontId="4" fillId="0" borderId="9" xfId="0" applyFont="1" applyBorder="1" applyAlignment="1">
      <alignment horizontal="right"/>
    </xf>
    <xf numFmtId="0" fontId="4"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3" xfId="0" applyFont="1" applyFill="1" applyBorder="1" applyAlignment="1">
      <alignment horizontal="center" vertical="center" wrapText="1"/>
    </xf>
    <xf numFmtId="3" fontId="0" fillId="0" borderId="14" xfId="0" applyNumberFormat="1" applyFont="1" applyFill="1" applyBorder="1" applyAlignment="1">
      <alignment horizontal="right" vertical="center" wrapText="1"/>
    </xf>
    <xf numFmtId="3" fontId="0" fillId="0" borderId="10" xfId="0" applyNumberFormat="1" applyFont="1" applyFill="1" applyBorder="1" applyAlignment="1"/>
    <xf numFmtId="0" fontId="0" fillId="0" borderId="9" xfId="0" applyFont="1" applyFill="1" applyBorder="1" applyAlignment="1">
      <alignment horizontal="center" vertical="center" wrapText="1"/>
    </xf>
    <xf numFmtId="0" fontId="0" fillId="0" borderId="21" xfId="0" applyFont="1" applyBorder="1" applyAlignment="1">
      <alignment horizontal="center" vertical="center"/>
    </xf>
    <xf numFmtId="0" fontId="4" fillId="0" borderId="21" xfId="0" applyFont="1" applyBorder="1" applyAlignment="1">
      <alignment horizontal="right"/>
    </xf>
    <xf numFmtId="0" fontId="27" fillId="0" borderId="14" xfId="0" applyFont="1" applyBorder="1" applyAlignment="1"/>
    <xf numFmtId="0" fontId="0" fillId="0" borderId="10" xfId="0" applyFont="1" applyBorder="1" applyAlignment="1"/>
    <xf numFmtId="7" fontId="0" fillId="0" borderId="9" xfId="2" applyNumberFormat="1" applyFont="1" applyFill="1" applyBorder="1" applyAlignment="1">
      <alignment horizontal="right"/>
    </xf>
    <xf numFmtId="7" fontId="0" fillId="0" borderId="20" xfId="2" applyNumberFormat="1" applyFont="1" applyBorder="1" applyAlignment="1">
      <alignment horizontal="right"/>
    </xf>
    <xf numFmtId="7" fontId="0" fillId="0" borderId="8" xfId="2" applyNumberFormat="1" applyFont="1" applyBorder="1" applyAlignment="1">
      <alignment horizontal="center"/>
    </xf>
    <xf numFmtId="7" fontId="0" fillId="0" borderId="0" xfId="2" applyNumberFormat="1" applyFont="1" applyFill="1" applyAlignment="1">
      <alignment horizontal="right"/>
    </xf>
    <xf numFmtId="7" fontId="0" fillId="0" borderId="13" xfId="2" applyNumberFormat="1" applyFont="1" applyBorder="1" applyAlignment="1">
      <alignment horizontal="right" wrapText="1"/>
    </xf>
    <xf numFmtId="7" fontId="0" fillId="0" borderId="9" xfId="2" applyNumberFormat="1" applyFont="1" applyBorder="1" applyAlignment="1">
      <alignment horizontal="right"/>
    </xf>
    <xf numFmtId="7" fontId="0" fillId="0" borderId="10" xfId="2" applyNumberFormat="1" applyFont="1" applyBorder="1"/>
    <xf numFmtId="7" fontId="0" fillId="0" borderId="10" xfId="0" applyNumberFormat="1" applyFont="1" applyBorder="1"/>
    <xf numFmtId="7" fontId="0" fillId="0" borderId="0" xfId="2" applyNumberFormat="1" applyFont="1" applyAlignment="1">
      <alignment horizontal="right"/>
    </xf>
    <xf numFmtId="7" fontId="0" fillId="0" borderId="9" xfId="2" applyNumberFormat="1" applyFont="1" applyBorder="1" applyAlignment="1">
      <alignment horizontal="center"/>
    </xf>
    <xf numFmtId="0" fontId="27" fillId="0" borderId="9" xfId="0" applyFont="1" applyBorder="1" applyAlignment="1"/>
    <xf numFmtId="7" fontId="0" fillId="0" borderId="9" xfId="2" applyNumberFormat="1" applyFont="1" applyBorder="1"/>
    <xf numFmtId="0" fontId="27" fillId="0" borderId="9" xfId="0" applyFont="1" applyBorder="1" applyAlignment="1">
      <alignment horizontal="left"/>
    </xf>
    <xf numFmtId="7" fontId="0" fillId="0" borderId="10" xfId="2" applyNumberFormat="1" applyFont="1" applyFill="1" applyBorder="1"/>
    <xf numFmtId="7" fontId="0" fillId="0" borderId="10" xfId="0" applyNumberFormat="1" applyFont="1" applyFill="1" applyBorder="1"/>
    <xf numFmtId="7" fontId="0" fillId="0" borderId="9" xfId="2" applyNumberFormat="1" applyFont="1" applyFill="1" applyBorder="1" applyAlignment="1">
      <alignment horizontal="center"/>
    </xf>
    <xf numFmtId="7" fontId="8" fillId="0" borderId="9" xfId="2" applyNumberFormat="1" applyFont="1" applyFill="1" applyBorder="1" applyAlignment="1">
      <alignment horizontal="right" vertical="center"/>
    </xf>
    <xf numFmtId="165" fontId="8" fillId="0" borderId="9" xfId="1" applyNumberFormat="1" applyFont="1" applyFill="1" applyBorder="1" applyAlignment="1">
      <alignment horizontal="center" vertical="center"/>
    </xf>
    <xf numFmtId="165" fontId="8" fillId="0" borderId="0" xfId="1" applyNumberFormat="1" applyFont="1" applyFill="1" applyAlignment="1">
      <alignment vertical="center"/>
    </xf>
    <xf numFmtId="166" fontId="8" fillId="0" borderId="10" xfId="0" applyNumberFormat="1" applyFont="1" applyFill="1" applyBorder="1" applyAlignment="1">
      <alignment vertical="center"/>
    </xf>
    <xf numFmtId="166" fontId="8" fillId="0" borderId="14" xfId="0" applyNumberFormat="1" applyFont="1" applyFill="1" applyBorder="1" applyAlignment="1">
      <alignment horizontal="center" vertical="center"/>
    </xf>
    <xf numFmtId="165" fontId="8" fillId="0" borderId="9" xfId="1" applyNumberFormat="1" applyFont="1" applyFill="1" applyBorder="1" applyAlignment="1">
      <alignment horizontal="right" vertical="center"/>
    </xf>
    <xf numFmtId="165" fontId="8" fillId="0" borderId="0" xfId="1" applyNumberFormat="1" applyFont="1" applyFill="1" applyAlignment="1">
      <alignment horizontal="right" vertical="center"/>
    </xf>
    <xf numFmtId="166" fontId="8" fillId="0" borderId="13" xfId="0" applyNumberFormat="1" applyFont="1" applyFill="1" applyBorder="1" applyAlignment="1">
      <alignment horizontal="center" vertical="center" wrapText="1"/>
    </xf>
    <xf numFmtId="0" fontId="0" fillId="0" borderId="0" xfId="0" applyBorder="1" applyAlignment="1">
      <alignment vertical="center" wrapText="1"/>
    </xf>
    <xf numFmtId="8" fontId="8" fillId="0" borderId="9" xfId="0" applyNumberFormat="1" applyFont="1" applyFill="1" applyBorder="1" applyAlignment="1">
      <alignment horizontal="right" vertical="center" wrapText="1"/>
    </xf>
    <xf numFmtId="166" fontId="8" fillId="0" borderId="9" xfId="0" applyNumberFormat="1" applyFont="1" applyBorder="1" applyAlignment="1">
      <alignment horizontal="center" vertical="center" wrapText="1"/>
    </xf>
    <xf numFmtId="8" fontId="8" fillId="0" borderId="9" xfId="0" applyNumberFormat="1" applyFont="1" applyBorder="1" applyAlignment="1">
      <alignment horizontal="right" vertical="center" wrapText="1"/>
    </xf>
    <xf numFmtId="0" fontId="8" fillId="0" borderId="9" xfId="0" applyNumberFormat="1" applyFont="1" applyBorder="1" applyAlignment="1">
      <alignment horizontal="center" vertical="center" wrapText="1"/>
    </xf>
    <xf numFmtId="0" fontId="8" fillId="0" borderId="31" xfId="0" applyNumberFormat="1" applyFont="1" applyFill="1" applyBorder="1" applyAlignment="1">
      <alignment horizontal="center"/>
    </xf>
    <xf numFmtId="2" fontId="8" fillId="0" borderId="9" xfId="0" applyNumberFormat="1" applyFont="1" applyFill="1" applyBorder="1" applyAlignment="1">
      <alignment horizontal="center" wrapText="1"/>
    </xf>
    <xf numFmtId="166" fontId="8" fillId="0" borderId="19" xfId="0" applyNumberFormat="1" applyFont="1" applyFill="1" applyBorder="1" applyAlignment="1">
      <alignment horizontal="center"/>
    </xf>
    <xf numFmtId="165" fontId="10" fillId="0" borderId="9" xfId="0" applyNumberFormat="1" applyFont="1" applyFill="1" applyBorder="1" applyAlignment="1">
      <alignment horizontal="right"/>
    </xf>
    <xf numFmtId="165" fontId="8" fillId="0" borderId="9" xfId="1" applyNumberFormat="1" applyFont="1" applyBorder="1" applyAlignment="1">
      <alignment horizontal="center"/>
    </xf>
    <xf numFmtId="9" fontId="0" fillId="0" borderId="0" xfId="3" applyFont="1" applyFill="1" applyBorder="1"/>
    <xf numFmtId="166" fontId="8" fillId="0" borderId="10" xfId="0" applyNumberFormat="1" applyFont="1" applyFill="1" applyBorder="1" applyAlignment="1">
      <alignment horizontal="center" vertical="center" wrapText="1"/>
    </xf>
    <xf numFmtId="0" fontId="0" fillId="0" borderId="10" xfId="0" applyFont="1" applyFill="1" applyBorder="1" applyAlignment="1">
      <alignment horizontal="left" wrapText="1"/>
    </xf>
    <xf numFmtId="0" fontId="0" fillId="0" borderId="14" xfId="0" applyFont="1" applyFill="1" applyBorder="1" applyAlignment="1">
      <alignment horizontal="left" wrapText="1"/>
    </xf>
    <xf numFmtId="0" fontId="4" fillId="0" borderId="9" xfId="0" applyNumberFormat="1" applyFont="1" applyFill="1" applyBorder="1" applyAlignment="1">
      <alignment horizontal="right"/>
    </xf>
    <xf numFmtId="0" fontId="0" fillId="0" borderId="9" xfId="0" applyFill="1" applyBorder="1" applyAlignment="1">
      <alignment vertical="center"/>
    </xf>
    <xf numFmtId="44" fontId="1" fillId="0" borderId="9" xfId="2" applyNumberFormat="1" applyFont="1" applyFill="1" applyBorder="1" applyAlignment="1">
      <alignment vertical="center"/>
    </xf>
    <xf numFmtId="44" fontId="1" fillId="0" borderId="9" xfId="2" applyNumberFormat="1" applyFont="1" applyFill="1" applyBorder="1"/>
    <xf numFmtId="44" fontId="8" fillId="0" borderId="9" xfId="2" applyFont="1" applyFill="1" applyBorder="1" applyAlignment="1">
      <alignment horizontal="center" vertical="center" wrapText="1"/>
    </xf>
    <xf numFmtId="165" fontId="8" fillId="0" borderId="13" xfId="1" applyNumberFormat="1" applyFont="1" applyFill="1" applyBorder="1" applyAlignment="1">
      <alignment horizontal="right" vertical="center" wrapText="1"/>
    </xf>
    <xf numFmtId="0" fontId="4" fillId="0" borderId="24" xfId="0" applyFont="1" applyFill="1" applyBorder="1" applyAlignment="1">
      <alignment horizontal="center" vertical="center"/>
    </xf>
    <xf numFmtId="0" fontId="0" fillId="0" borderId="36" xfId="0" applyFont="1" applyFill="1" applyBorder="1" applyAlignment="1">
      <alignment vertical="center"/>
    </xf>
    <xf numFmtId="3" fontId="0" fillId="0" borderId="36" xfId="0" applyNumberFormat="1" applyFont="1" applyFill="1" applyBorder="1" applyAlignment="1">
      <alignment horizontal="center" vertical="center"/>
    </xf>
    <xf numFmtId="0" fontId="0" fillId="0" borderId="0" xfId="0" applyFill="1" applyBorder="1" applyAlignment="1">
      <alignment vertical="top" wrapText="1"/>
    </xf>
    <xf numFmtId="44" fontId="0" fillId="0" borderId="13" xfId="2" applyFont="1" applyFill="1" applyBorder="1" applyAlignment="1">
      <alignment horizontal="center"/>
    </xf>
    <xf numFmtId="0" fontId="0" fillId="0" borderId="9" xfId="2" applyNumberFormat="1" applyFont="1" applyFill="1" applyBorder="1"/>
    <xf numFmtId="0" fontId="8" fillId="0" borderId="0" xfId="0" applyFont="1" applyFill="1" applyBorder="1" applyAlignment="1">
      <alignment vertical="center" wrapText="1"/>
    </xf>
    <xf numFmtId="0" fontId="4" fillId="0" borderId="0" xfId="0" applyFont="1" applyFill="1" applyBorder="1" applyAlignment="1">
      <alignment horizontal="center" vertical="center" wrapText="1"/>
    </xf>
    <xf numFmtId="8" fontId="8" fillId="0" borderId="10" xfId="0" applyNumberFormat="1" applyFont="1" applyFill="1" applyBorder="1" applyAlignment="1">
      <alignment horizontal="right" vertical="center" wrapText="1"/>
    </xf>
    <xf numFmtId="0" fontId="4" fillId="0" borderId="9" xfId="0" applyFont="1" applyBorder="1" applyAlignment="1">
      <alignment horizontal="center" vertical="center"/>
    </xf>
    <xf numFmtId="0" fontId="0" fillId="0" borderId="9" xfId="0" applyFont="1" applyFill="1" applyBorder="1" applyAlignment="1">
      <alignment vertical="center"/>
    </xf>
    <xf numFmtId="0" fontId="4" fillId="0" borderId="23" xfId="0" applyFont="1" applyFill="1" applyBorder="1" applyAlignment="1">
      <alignment horizontal="center"/>
    </xf>
    <xf numFmtId="0" fontId="4" fillId="0" borderId="9" xfId="0" applyNumberFormat="1" applyFont="1" applyFill="1" applyBorder="1" applyAlignment="1">
      <alignment horizontal="center" wrapText="1"/>
    </xf>
    <xf numFmtId="176" fontId="0" fillId="0" borderId="10" xfId="2" applyNumberFormat="1" applyFont="1" applyFill="1" applyBorder="1" applyAlignment="1">
      <alignment horizontal="center"/>
    </xf>
    <xf numFmtId="7" fontId="0" fillId="0" borderId="10" xfId="2" applyNumberFormat="1" applyFont="1" applyFill="1" applyBorder="1" applyAlignment="1">
      <alignment horizontal="center"/>
    </xf>
    <xf numFmtId="165" fontId="8" fillId="0" borderId="9" xfId="0" applyNumberFormat="1" applyFont="1" applyBorder="1" applyAlignment="1">
      <alignment vertical="center"/>
    </xf>
    <xf numFmtId="44" fontId="8" fillId="0" borderId="9" xfId="2" applyNumberFormat="1" applyFont="1" applyBorder="1" applyAlignment="1">
      <alignment vertical="center"/>
    </xf>
    <xf numFmtId="44" fontId="8" fillId="0" borderId="9" xfId="2" applyNumberFormat="1" applyFont="1" applyBorder="1"/>
    <xf numFmtId="44" fontId="8" fillId="0" borderId="9" xfId="0" applyNumberFormat="1" applyFont="1" applyFill="1" applyBorder="1"/>
    <xf numFmtId="44" fontId="0" fillId="0" borderId="9" xfId="2" applyFont="1" applyFill="1" applyBorder="1" applyAlignment="1"/>
    <xf numFmtId="17" fontId="8" fillId="0" borderId="9" xfId="0" quotePrefix="1" applyNumberFormat="1" applyFont="1" applyBorder="1" applyAlignment="1">
      <alignment horizontal="center"/>
    </xf>
    <xf numFmtId="165" fontId="10" fillId="0" borderId="9" xfId="0" applyNumberFormat="1" applyFont="1" applyBorder="1" applyAlignment="1">
      <alignment horizontal="right"/>
    </xf>
    <xf numFmtId="17" fontId="8" fillId="0" borderId="15" xfId="0" quotePrefix="1" applyNumberFormat="1" applyFont="1" applyBorder="1" applyAlignment="1">
      <alignment horizontal="center"/>
    </xf>
    <xf numFmtId="44" fontId="8" fillId="0" borderId="0" xfId="2" applyFont="1" applyFill="1" applyBorder="1" applyAlignment="1">
      <alignment horizontal="center"/>
    </xf>
    <xf numFmtId="0" fontId="8" fillId="0" borderId="21" xfId="0" applyNumberFormat="1" applyFont="1" applyFill="1" applyBorder="1" applyAlignment="1">
      <alignment horizontal="center"/>
    </xf>
    <xf numFmtId="0" fontId="8" fillId="0" borderId="15" xfId="0" applyFont="1" applyFill="1" applyBorder="1" applyAlignment="1">
      <alignment horizontal="center"/>
    </xf>
    <xf numFmtId="0" fontId="8" fillId="0" borderId="0" xfId="0" applyFont="1" applyFill="1" applyBorder="1" applyAlignment="1">
      <alignment wrapText="1"/>
    </xf>
    <xf numFmtId="0" fontId="10" fillId="0" borderId="32" xfId="0" applyFont="1" applyFill="1" applyBorder="1" applyAlignment="1">
      <alignment horizontal="center" wrapText="1"/>
    </xf>
    <xf numFmtId="0" fontId="0" fillId="0" borderId="0" xfId="0" applyFont="1" applyFill="1" applyAlignment="1"/>
    <xf numFmtId="44" fontId="8" fillId="0" borderId="9" xfId="2" applyFont="1" applyFill="1" applyBorder="1" applyAlignment="1">
      <alignment vertical="center" wrapText="1"/>
    </xf>
    <xf numFmtId="44" fontId="8" fillId="0" borderId="9" xfId="0" applyNumberFormat="1" applyFont="1" applyFill="1" applyBorder="1" applyAlignment="1">
      <alignment vertical="center" wrapText="1"/>
    </xf>
    <xf numFmtId="166" fontId="8" fillId="0" borderId="9" xfId="0" applyNumberFormat="1" applyFont="1" applyFill="1" applyBorder="1" applyAlignment="1">
      <alignment horizontal="center" vertical="center"/>
    </xf>
    <xf numFmtId="0" fontId="8" fillId="0" borderId="9" xfId="0" applyFont="1" applyFill="1" applyBorder="1" applyAlignment="1">
      <alignment horizontal="right" vertical="center" wrapText="1"/>
    </xf>
    <xf numFmtId="165" fontId="8" fillId="0" borderId="14" xfId="0" applyNumberFormat="1" applyFont="1" applyFill="1" applyBorder="1" applyAlignment="1">
      <alignment horizontal="center" vertical="center"/>
    </xf>
    <xf numFmtId="165" fontId="8" fillId="0" borderId="13" xfId="0" applyNumberFormat="1" applyFont="1" applyFill="1" applyBorder="1" applyAlignment="1">
      <alignment horizontal="center" vertical="center"/>
    </xf>
    <xf numFmtId="0" fontId="8" fillId="0" borderId="19" xfId="0" applyFont="1" applyFill="1" applyBorder="1" applyAlignment="1">
      <alignment horizontal="center" vertical="center"/>
    </xf>
    <xf numFmtId="0" fontId="8" fillId="0" borderId="20" xfId="0" applyFont="1" applyFill="1" applyBorder="1" applyAlignment="1">
      <alignment vertical="center"/>
    </xf>
    <xf numFmtId="0" fontId="8" fillId="0" borderId="1" xfId="0" applyFont="1" applyFill="1" applyBorder="1" applyAlignment="1">
      <alignment vertical="center"/>
    </xf>
    <xf numFmtId="17" fontId="8" fillId="0" borderId="9" xfId="0" quotePrefix="1" applyNumberFormat="1" applyFont="1" applyFill="1" applyBorder="1" applyAlignment="1">
      <alignment horizontal="center"/>
    </xf>
    <xf numFmtId="0" fontId="8" fillId="0" borderId="9" xfId="0" applyNumberFormat="1" applyFont="1" applyBorder="1" applyAlignment="1">
      <alignment horizontal="center"/>
    </xf>
    <xf numFmtId="17" fontId="0" fillId="0" borderId="9" xfId="0" quotePrefix="1" applyNumberFormat="1" applyFont="1" applyFill="1" applyBorder="1" applyAlignment="1">
      <alignment horizontal="center"/>
    </xf>
    <xf numFmtId="49" fontId="0" fillId="0" borderId="9" xfId="0" applyNumberFormat="1" applyFont="1" applyFill="1" applyBorder="1" applyAlignment="1">
      <alignment horizontal="center"/>
    </xf>
    <xf numFmtId="0" fontId="8" fillId="0" borderId="9" xfId="0" quotePrefix="1" applyFont="1" applyFill="1" applyBorder="1" applyAlignment="1">
      <alignment horizontal="center"/>
    </xf>
    <xf numFmtId="16" fontId="8" fillId="0" borderId="9" xfId="0" quotePrefix="1" applyNumberFormat="1" applyFont="1" applyBorder="1" applyAlignment="1">
      <alignment horizontal="center"/>
    </xf>
    <xf numFmtId="0" fontId="8" fillId="0" borderId="9" xfId="0" quotePrefix="1" applyFont="1" applyBorder="1" applyAlignment="1">
      <alignment horizontal="center"/>
    </xf>
    <xf numFmtId="0" fontId="0" fillId="0" borderId="0" xfId="0" applyFont="1" applyFill="1" applyAlignment="1">
      <alignment vertical="center" wrapText="1"/>
    </xf>
    <xf numFmtId="0" fontId="0" fillId="0" borderId="0" xfId="0" applyFont="1" applyFill="1" applyAlignment="1">
      <alignment horizontal="center" vertical="center"/>
    </xf>
    <xf numFmtId="0" fontId="8" fillId="0" borderId="0" xfId="0" applyFont="1" applyFill="1" applyAlignment="1">
      <alignment horizontal="center"/>
    </xf>
    <xf numFmtId="0" fontId="8" fillId="0" borderId="0" xfId="0" applyFont="1" applyFill="1" applyAlignment="1">
      <alignment horizontal="left" wrapText="1"/>
    </xf>
    <xf numFmtId="16" fontId="0" fillId="0" borderId="9" xfId="0" quotePrefix="1" applyNumberFormat="1" applyFont="1" applyFill="1" applyBorder="1" applyAlignment="1">
      <alignment horizontal="center"/>
    </xf>
    <xf numFmtId="0" fontId="0" fillId="0" borderId="9" xfId="0" quotePrefix="1" applyFont="1" applyFill="1" applyBorder="1" applyAlignment="1">
      <alignment horizontal="center"/>
    </xf>
    <xf numFmtId="0" fontId="8" fillId="0" borderId="0" xfId="0" applyFont="1" applyFill="1" applyAlignment="1">
      <alignment horizontal="left"/>
    </xf>
    <xf numFmtId="43" fontId="0" fillId="0" borderId="19" xfId="0" applyNumberFormat="1" applyFont="1" applyFill="1" applyBorder="1" applyAlignment="1">
      <alignment horizontal="center"/>
    </xf>
    <xf numFmtId="0" fontId="0" fillId="0" borderId="0" xfId="0" applyBorder="1" applyAlignment="1">
      <alignment vertical="center"/>
    </xf>
    <xf numFmtId="0" fontId="4" fillId="0" borderId="0" xfId="0" applyFont="1" applyFill="1" applyAlignment="1">
      <alignment horizontal="center" wrapText="1"/>
    </xf>
    <xf numFmtId="0" fontId="0" fillId="0" borderId="0" xfId="0" applyBorder="1" applyAlignment="1">
      <alignment horizontal="center" vertical="center"/>
    </xf>
    <xf numFmtId="0" fontId="4" fillId="0" borderId="0" xfId="0" applyFont="1" applyBorder="1" applyAlignment="1">
      <alignment horizontal="right" vertical="center"/>
    </xf>
    <xf numFmtId="0" fontId="4" fillId="0" borderId="10" xfId="0" applyFont="1" applyFill="1" applyBorder="1" applyAlignment="1">
      <alignment horizontal="left" wrapText="1"/>
    </xf>
    <xf numFmtId="0" fontId="4" fillId="0" borderId="14" xfId="0" applyFont="1" applyFill="1" applyBorder="1" applyAlignment="1">
      <alignment horizontal="left" wrapText="1"/>
    </xf>
    <xf numFmtId="0" fontId="4" fillId="0" borderId="13" xfId="0" applyFont="1" applyFill="1" applyBorder="1" applyAlignment="1">
      <alignment horizontal="left" wrapText="1"/>
    </xf>
    <xf numFmtId="0" fontId="4" fillId="0" borderId="8" xfId="0" applyFont="1" applyFill="1" applyBorder="1" applyAlignment="1">
      <alignment horizontal="center" wrapText="1"/>
    </xf>
    <xf numFmtId="44" fontId="0" fillId="0" borderId="19" xfId="2" applyFont="1" applyFill="1" applyBorder="1" applyAlignment="1">
      <alignment horizontal="center"/>
    </xf>
    <xf numFmtId="0" fontId="27" fillId="0" borderId="9" xfId="0" applyFont="1" applyFill="1" applyBorder="1" applyAlignment="1">
      <alignment horizontal="left"/>
    </xf>
    <xf numFmtId="44" fontId="0" fillId="0" borderId="19" xfId="0" applyNumberFormat="1" applyFont="1" applyFill="1" applyBorder="1" applyAlignment="1">
      <alignment horizontal="center"/>
    </xf>
    <xf numFmtId="0" fontId="0" fillId="0" borderId="19" xfId="0" applyFont="1" applyFill="1" applyBorder="1" applyAlignment="1">
      <alignment horizontal="right"/>
    </xf>
    <xf numFmtId="0" fontId="8" fillId="0" borderId="14" xfId="0" applyFont="1" applyFill="1" applyBorder="1" applyAlignment="1">
      <alignment horizontal="right" vertical="center"/>
    </xf>
    <xf numFmtId="3" fontId="8" fillId="0" borderId="14" xfId="0" applyNumberFormat="1" applyFont="1" applyFill="1" applyBorder="1" applyAlignment="1">
      <alignment horizontal="right" vertical="center"/>
    </xf>
    <xf numFmtId="2" fontId="0" fillId="0" borderId="19" xfId="0" applyNumberFormat="1" applyFont="1" applyFill="1" applyBorder="1" applyAlignment="1">
      <alignment horizontal="center"/>
    </xf>
    <xf numFmtId="0" fontId="29" fillId="0" borderId="10" xfId="0" applyNumberFormat="1" applyFont="1" applyFill="1" applyBorder="1" applyAlignment="1" applyProtection="1">
      <alignment horizontal="center" vertical="center"/>
    </xf>
    <xf numFmtId="0" fontId="29" fillId="0" borderId="13" xfId="0" applyNumberFormat="1" applyFont="1" applyFill="1" applyBorder="1" applyAlignment="1" applyProtection="1">
      <alignment horizontal="center" vertical="center"/>
    </xf>
    <xf numFmtId="0" fontId="30" fillId="0" borderId="10" xfId="0" applyNumberFormat="1" applyFont="1" applyFill="1" applyBorder="1" applyAlignment="1" applyProtection="1">
      <alignment horizontal="center" vertical="center"/>
    </xf>
    <xf numFmtId="0" fontId="30" fillId="0" borderId="13" xfId="0" applyNumberFormat="1" applyFont="1" applyFill="1" applyBorder="1" applyAlignment="1" applyProtection="1">
      <alignment horizontal="center" vertical="center"/>
    </xf>
    <xf numFmtId="165" fontId="30" fillId="0" borderId="14" xfId="0" applyNumberFormat="1" applyFont="1" applyFill="1" applyBorder="1" applyAlignment="1" applyProtection="1">
      <alignment vertical="center"/>
    </xf>
    <xf numFmtId="0" fontId="29" fillId="0" borderId="9" xfId="0" applyNumberFormat="1" applyFont="1" applyFill="1" applyBorder="1" applyAlignment="1" applyProtection="1">
      <alignment horizontal="center"/>
    </xf>
    <xf numFmtId="0" fontId="29" fillId="0" borderId="8" xfId="0" applyNumberFormat="1" applyFont="1" applyFill="1" applyBorder="1" applyAlignment="1" applyProtection="1">
      <alignment horizontal="center"/>
    </xf>
    <xf numFmtId="0" fontId="29" fillId="0" borderId="9" xfId="0" applyNumberFormat="1" applyFont="1" applyFill="1" applyBorder="1" applyAlignment="1" applyProtection="1">
      <alignment horizontal="center" wrapText="1"/>
    </xf>
    <xf numFmtId="16" fontId="30" fillId="0" borderId="9" xfId="0" quotePrefix="1" applyNumberFormat="1" applyFont="1" applyFill="1" applyBorder="1" applyAlignment="1" applyProtection="1">
      <alignment horizontal="center"/>
    </xf>
    <xf numFmtId="44" fontId="30" fillId="0" borderId="9" xfId="0" applyNumberFormat="1" applyFont="1" applyFill="1" applyBorder="1" applyAlignment="1" applyProtection="1">
      <alignment horizontal="center"/>
    </xf>
    <xf numFmtId="0" fontId="30" fillId="0" borderId="8" xfId="0" applyNumberFormat="1" applyFont="1" applyFill="1" applyBorder="1" applyAlignment="1" applyProtection="1">
      <alignment horizontal="center"/>
    </xf>
    <xf numFmtId="0" fontId="30" fillId="0" borderId="19" xfId="0" applyNumberFormat="1" applyFont="1" applyFill="1" applyBorder="1" applyAlignment="1" applyProtection="1">
      <alignment horizontal="center"/>
    </xf>
    <xf numFmtId="0" fontId="30" fillId="0" borderId="20" xfId="0" applyNumberFormat="1" applyFont="1" applyFill="1" applyBorder="1" applyAlignment="1" applyProtection="1">
      <alignment horizontal="center"/>
    </xf>
    <xf numFmtId="0" fontId="30" fillId="0" borderId="9" xfId="0" applyNumberFormat="1" applyFont="1" applyFill="1" applyBorder="1" applyAlignment="1" applyProtection="1">
      <alignment horizontal="center"/>
    </xf>
    <xf numFmtId="17" fontId="30" fillId="0" borderId="9" xfId="0" quotePrefix="1" applyNumberFormat="1" applyFont="1" applyFill="1" applyBorder="1" applyAlignment="1" applyProtection="1">
      <alignment horizontal="center"/>
    </xf>
    <xf numFmtId="166" fontId="30" fillId="0" borderId="9" xfId="0" applyNumberFormat="1" applyFont="1" applyFill="1" applyBorder="1" applyAlignment="1" applyProtection="1">
      <alignment horizontal="center"/>
    </xf>
    <xf numFmtId="0" fontId="30" fillId="0" borderId="9" xfId="0" applyNumberFormat="1" applyFont="1" applyFill="1" applyBorder="1" applyAlignment="1" applyProtection="1"/>
    <xf numFmtId="44" fontId="30" fillId="0" borderId="9" xfId="0" applyNumberFormat="1" applyFont="1" applyFill="1" applyBorder="1" applyAlignment="1" applyProtection="1"/>
    <xf numFmtId="0" fontId="8" fillId="0" borderId="20" xfId="0" applyFont="1" applyFill="1" applyBorder="1" applyAlignment="1">
      <alignment horizontal="center" wrapText="1"/>
    </xf>
    <xf numFmtId="0" fontId="8" fillId="0" borderId="8" xfId="0" applyFont="1" applyFill="1" applyBorder="1" applyAlignment="1">
      <alignment horizontal="center" vertical="center" wrapText="1"/>
    </xf>
    <xf numFmtId="0" fontId="30" fillId="0" borderId="13" xfId="0" applyNumberFormat="1" applyFont="1" applyFill="1" applyBorder="1" applyAlignment="1" applyProtection="1">
      <alignment vertical="center"/>
    </xf>
    <xf numFmtId="165" fontId="30" fillId="0" borderId="14" xfId="0" applyNumberFormat="1" applyFont="1" applyFill="1" applyBorder="1" applyAlignment="1" applyProtection="1">
      <alignment horizontal="right" vertical="center"/>
    </xf>
    <xf numFmtId="0" fontId="29" fillId="0" borderId="9" xfId="0" applyNumberFormat="1" applyFont="1" applyFill="1" applyBorder="1" applyAlignment="1" applyProtection="1">
      <alignment horizontal="right"/>
    </xf>
    <xf numFmtId="0" fontId="8" fillId="0" borderId="0" xfId="0" applyFont="1" applyFill="1" applyAlignment="1">
      <alignment horizontal="center" vertical="center"/>
    </xf>
    <xf numFmtId="165" fontId="8" fillId="0" borderId="14" xfId="1" applyNumberFormat="1" applyFont="1" applyFill="1" applyBorder="1" applyAlignment="1">
      <alignment horizontal="right" vertical="center"/>
    </xf>
    <xf numFmtId="0" fontId="8" fillId="0" borderId="32" xfId="0" applyFont="1" applyFill="1" applyBorder="1" applyAlignment="1">
      <alignment horizontal="center"/>
    </xf>
    <xf numFmtId="0" fontId="8" fillId="0" borderId="27" xfId="0" applyFont="1" applyFill="1" applyBorder="1" applyAlignment="1">
      <alignment horizontal="center"/>
    </xf>
    <xf numFmtId="0" fontId="8" fillId="0" borderId="0" xfId="0" applyFont="1" applyFill="1" applyAlignment="1">
      <alignment horizontal="center" wrapText="1"/>
    </xf>
    <xf numFmtId="165" fontId="8" fillId="0" borderId="14" xfId="1" applyNumberFormat="1" applyFont="1" applyFill="1" applyBorder="1" applyAlignment="1"/>
    <xf numFmtId="0" fontId="8" fillId="0" borderId="0" xfId="0" applyFont="1" applyFill="1" applyBorder="1" applyAlignment="1">
      <alignment horizontal="center" wrapText="1"/>
    </xf>
    <xf numFmtId="165" fontId="8" fillId="0" borderId="9" xfId="0" applyNumberFormat="1" applyFont="1" applyFill="1" applyBorder="1" applyAlignment="1">
      <alignment vertical="center" wrapText="1"/>
    </xf>
    <xf numFmtId="44" fontId="30" fillId="0" borderId="8" xfId="0" applyNumberFormat="1" applyFont="1" applyFill="1" applyBorder="1" applyAlignment="1" applyProtection="1">
      <alignment horizontal="center"/>
    </xf>
    <xf numFmtId="165" fontId="30" fillId="0" borderId="19" xfId="0" applyNumberFormat="1" applyFont="1" applyFill="1" applyBorder="1" applyAlignment="1" applyProtection="1"/>
    <xf numFmtId="0" fontId="30" fillId="0" borderId="10" xfId="0" applyNumberFormat="1" applyFont="1" applyFill="1" applyBorder="1" applyAlignment="1" applyProtection="1">
      <alignment horizontal="center"/>
    </xf>
    <xf numFmtId="0" fontId="30" fillId="0" borderId="13" xfId="0" applyNumberFormat="1" applyFont="1" applyFill="1" applyBorder="1" applyAlignment="1" applyProtection="1">
      <alignment horizontal="center"/>
    </xf>
    <xf numFmtId="16" fontId="30" fillId="0" borderId="9" xfId="0" applyNumberFormat="1" applyFont="1" applyFill="1" applyBorder="1" applyAlignment="1" applyProtection="1">
      <alignment horizontal="center"/>
    </xf>
    <xf numFmtId="0" fontId="8" fillId="0" borderId="0" xfId="0" applyFont="1" applyAlignment="1">
      <alignment horizontal="center"/>
    </xf>
    <xf numFmtId="44" fontId="8" fillId="0" borderId="9" xfId="2" applyFont="1" applyFill="1" applyBorder="1" applyAlignment="1">
      <alignment horizontal="left"/>
    </xf>
    <xf numFmtId="0" fontId="8" fillId="0" borderId="13" xfId="0" applyFont="1" applyFill="1" applyBorder="1"/>
    <xf numFmtId="9" fontId="8" fillId="0" borderId="10" xfId="3" applyFont="1" applyFill="1" applyBorder="1" applyAlignment="1">
      <alignment horizontal="center"/>
    </xf>
    <xf numFmtId="165" fontId="8" fillId="0" borderId="10" xfId="1" applyNumberFormat="1" applyFont="1" applyFill="1" applyBorder="1" applyAlignment="1">
      <alignment horizontal="center"/>
    </xf>
    <xf numFmtId="0" fontId="0" fillId="0" borderId="10" xfId="3" applyNumberFormat="1" applyFont="1" applyFill="1" applyBorder="1" applyAlignment="1">
      <alignment horizontal="center"/>
    </xf>
    <xf numFmtId="175" fontId="0" fillId="0" borderId="8" xfId="2" applyNumberFormat="1" applyFont="1" applyFill="1" applyBorder="1" applyAlignment="1">
      <alignment horizontal="center"/>
    </xf>
    <xf numFmtId="2" fontId="0" fillId="0" borderId="13" xfId="0" applyNumberFormat="1" applyFont="1" applyFill="1" applyBorder="1" applyAlignment="1">
      <alignment horizontal="center"/>
    </xf>
    <xf numFmtId="5" fontId="0" fillId="0" borderId="8" xfId="2" applyNumberFormat="1" applyFont="1" applyFill="1" applyBorder="1" applyAlignment="1">
      <alignment horizontal="center"/>
    </xf>
    <xf numFmtId="7" fontId="0" fillId="0" borderId="8" xfId="0" applyNumberFormat="1" applyFont="1" applyFill="1" applyBorder="1" applyAlignment="1">
      <alignment horizontal="center"/>
    </xf>
    <xf numFmtId="44" fontId="0" fillId="0" borderId="23" xfId="0" applyNumberFormat="1" applyFont="1" applyFill="1" applyBorder="1" applyAlignment="1">
      <alignment horizontal="center"/>
    </xf>
    <xf numFmtId="0" fontId="0" fillId="0" borderId="23" xfId="0" applyFont="1" applyFill="1" applyBorder="1" applyAlignment="1">
      <alignment horizontal="center"/>
    </xf>
    <xf numFmtId="44" fontId="0" fillId="0" borderId="23" xfId="2" applyFont="1" applyFill="1" applyBorder="1" applyAlignment="1">
      <alignment horizontal="center"/>
    </xf>
    <xf numFmtId="16" fontId="0" fillId="0" borderId="8" xfId="0" quotePrefix="1" applyNumberFormat="1" applyFont="1" applyFill="1" applyBorder="1" applyAlignment="1">
      <alignment horizontal="center"/>
    </xf>
    <xf numFmtId="0" fontId="0" fillId="0" borderId="8" xfId="0" applyNumberFormat="1" applyFont="1" applyFill="1" applyBorder="1" applyAlignment="1">
      <alignment horizontal="center"/>
    </xf>
    <xf numFmtId="0" fontId="0" fillId="0" borderId="10" xfId="0" applyFont="1" applyFill="1" applyBorder="1" applyAlignment="1">
      <alignment horizontal="center" vertical="top" wrapText="1"/>
    </xf>
    <xf numFmtId="0" fontId="0" fillId="0" borderId="14" xfId="0" applyFont="1" applyFill="1" applyBorder="1" applyAlignment="1">
      <alignment horizontal="center" vertical="top" wrapText="1"/>
    </xf>
    <xf numFmtId="0" fontId="0" fillId="0" borderId="13" xfId="0" applyFont="1" applyFill="1" applyBorder="1" applyAlignment="1">
      <alignment horizontal="center" vertical="top" wrapText="1"/>
    </xf>
    <xf numFmtId="44" fontId="1" fillId="0" borderId="9" xfId="2" applyFont="1" applyFill="1" applyBorder="1" applyAlignment="1">
      <alignment vertical="center"/>
    </xf>
    <xf numFmtId="0" fontId="0" fillId="0" borderId="19" xfId="0" applyFont="1" applyFill="1" applyBorder="1" applyAlignment="1">
      <alignment horizontal="center" vertical="top" wrapText="1"/>
    </xf>
    <xf numFmtId="0" fontId="0" fillId="0" borderId="1" xfId="0" applyFont="1" applyFill="1" applyBorder="1" applyAlignment="1">
      <alignment horizontal="center" vertical="top" wrapText="1"/>
    </xf>
    <xf numFmtId="0" fontId="0" fillId="0" borderId="20" xfId="0" applyFont="1" applyFill="1" applyBorder="1" applyAlignment="1">
      <alignment horizontal="center" vertical="top" wrapText="1"/>
    </xf>
    <xf numFmtId="165" fontId="8" fillId="0" borderId="14" xfId="1" applyNumberFormat="1" applyFont="1" applyBorder="1" applyAlignment="1"/>
    <xf numFmtId="0" fontId="8" fillId="0" borderId="10" xfId="0" applyFont="1" applyBorder="1" applyAlignment="1">
      <alignment horizontal="left" vertical="center" wrapText="1"/>
    </xf>
    <xf numFmtId="0" fontId="8" fillId="0" borderId="13" xfId="0" applyFont="1" applyBorder="1" applyAlignment="1">
      <alignment horizontal="left" vertical="center" wrapText="1"/>
    </xf>
    <xf numFmtId="0" fontId="8" fillId="0" borderId="8" xfId="0" applyNumberFormat="1" applyFont="1" applyBorder="1" applyAlignment="1">
      <alignment vertical="center" wrapText="1"/>
    </xf>
    <xf numFmtId="8" fontId="8" fillId="0" borderId="9" xfId="2" applyNumberFormat="1" applyFont="1" applyBorder="1" applyAlignment="1">
      <alignment horizontal="right" vertical="center" wrapText="1"/>
    </xf>
    <xf numFmtId="44" fontId="8" fillId="0" borderId="14" xfId="2" applyFont="1" applyFill="1" applyBorder="1" applyAlignment="1">
      <alignment horizontal="left"/>
    </xf>
    <xf numFmtId="17" fontId="8" fillId="0" borderId="10" xfId="0" quotePrefix="1" applyNumberFormat="1" applyFont="1" applyFill="1" applyBorder="1" applyAlignment="1">
      <alignment horizontal="center"/>
    </xf>
    <xf numFmtId="0" fontId="0" fillId="0" borderId="0" xfId="0" applyFont="1" applyFill="1" applyBorder="1" applyAlignment="1">
      <alignment horizontal="center" wrapText="1"/>
    </xf>
    <xf numFmtId="0" fontId="0" fillId="0" borderId="0" xfId="0" applyFont="1" applyAlignment="1">
      <alignment wrapText="1"/>
    </xf>
    <xf numFmtId="0" fontId="10" fillId="0" borderId="10" xfId="0" applyFont="1" applyBorder="1" applyAlignment="1">
      <alignment vertical="center"/>
    </xf>
    <xf numFmtId="44" fontId="8" fillId="0" borderId="14" xfId="2" applyFont="1" applyFill="1" applyBorder="1"/>
    <xf numFmtId="0" fontId="0" fillId="0" borderId="0" xfId="0" applyFont="1" applyFill="1" applyAlignment="1">
      <alignment horizontal="left"/>
    </xf>
    <xf numFmtId="3" fontId="0" fillId="0" borderId="8" xfId="0" applyNumberFormat="1" applyFont="1" applyFill="1" applyBorder="1" applyAlignment="1">
      <alignment horizontal="center"/>
    </xf>
    <xf numFmtId="17" fontId="0" fillId="0" borderId="9" xfId="0" quotePrefix="1" applyNumberFormat="1" applyFont="1" applyBorder="1" applyAlignment="1">
      <alignment horizontal="center"/>
    </xf>
    <xf numFmtId="172" fontId="0" fillId="0" borderId="19" xfId="0" applyNumberFormat="1" applyFont="1" applyFill="1" applyBorder="1" applyAlignment="1">
      <alignment horizontal="center"/>
    </xf>
    <xf numFmtId="177" fontId="0" fillId="0" borderId="8" xfId="0" applyNumberFormat="1" applyFont="1" applyFill="1" applyBorder="1" applyAlignment="1">
      <alignment horizontal="center"/>
    </xf>
    <xf numFmtId="166" fontId="0" fillId="0" borderId="19" xfId="0" applyNumberFormat="1" applyFont="1" applyFill="1" applyBorder="1" applyAlignment="1">
      <alignment horizontal="center"/>
    </xf>
    <xf numFmtId="43" fontId="0" fillId="0" borderId="14" xfId="1" applyNumberFormat="1" applyFont="1" applyFill="1" applyBorder="1" applyAlignment="1"/>
    <xf numFmtId="177" fontId="0" fillId="0" borderId="9" xfId="0" applyNumberFormat="1" applyFont="1" applyFill="1" applyBorder="1" applyAlignment="1">
      <alignment horizontal="center"/>
    </xf>
    <xf numFmtId="44" fontId="0" fillId="0" borderId="0" xfId="0" applyNumberFormat="1" applyFill="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8" fillId="0" borderId="13" xfId="0" applyFont="1" applyBorder="1" applyAlignment="1">
      <alignment horizontal="center"/>
    </xf>
    <xf numFmtId="177" fontId="8" fillId="0" borderId="8" xfId="0" applyNumberFormat="1" applyFont="1" applyBorder="1" applyAlignment="1">
      <alignment horizontal="center"/>
    </xf>
    <xf numFmtId="0" fontId="0" fillId="0" borderId="0" xfId="0" applyFont="1" applyFill="1" applyBorder="1" applyAlignment="1"/>
    <xf numFmtId="0" fontId="0" fillId="0" borderId="0" xfId="0" applyFont="1" applyAlignment="1"/>
    <xf numFmtId="172" fontId="8" fillId="0" borderId="10" xfId="0" applyNumberFormat="1" applyFont="1" applyFill="1" applyBorder="1" applyAlignment="1">
      <alignment horizontal="center"/>
    </xf>
    <xf numFmtId="172" fontId="8" fillId="0" borderId="19" xfId="0" applyNumberFormat="1" applyFont="1" applyFill="1" applyBorder="1" applyAlignment="1">
      <alignment horizontal="center"/>
    </xf>
    <xf numFmtId="0" fontId="8" fillId="0" borderId="0" xfId="0" applyFont="1" applyFill="1" applyBorder="1" applyAlignment="1"/>
    <xf numFmtId="0" fontId="0" fillId="0" borderId="0" xfId="0" applyFill="1" applyBorder="1" applyAlignment="1">
      <alignment horizontal="center" vertical="top" wrapText="1"/>
    </xf>
    <xf numFmtId="16" fontId="0" fillId="0" borderId="9" xfId="0" quotePrefix="1" applyNumberFormat="1" applyFont="1" applyBorder="1" applyAlignment="1">
      <alignment horizontal="center"/>
    </xf>
    <xf numFmtId="172" fontId="8" fillId="0" borderId="32" xfId="0" applyNumberFormat="1" applyFont="1" applyFill="1" applyBorder="1" applyAlignment="1">
      <alignment horizontal="center"/>
    </xf>
    <xf numFmtId="0" fontId="0" fillId="0" borderId="21" xfId="0" applyFont="1" applyFill="1" applyBorder="1" applyAlignment="1">
      <alignment horizontal="left"/>
    </xf>
    <xf numFmtId="44" fontId="0" fillId="0" borderId="0" xfId="2" applyFont="1" applyFill="1" applyBorder="1" applyAlignment="1">
      <alignment horizontal="center"/>
    </xf>
    <xf numFmtId="172" fontId="27" fillId="0" borderId="0" xfId="0" applyNumberFormat="1" applyFont="1" applyFill="1" applyBorder="1" applyAlignment="1">
      <alignment horizontal="center"/>
    </xf>
    <xf numFmtId="165" fontId="8" fillId="0" borderId="19" xfId="1" applyNumberFormat="1" applyFont="1" applyFill="1" applyBorder="1" applyAlignment="1">
      <alignment horizontal="center"/>
    </xf>
    <xf numFmtId="43" fontId="8" fillId="0" borderId="19" xfId="1" applyFont="1" applyFill="1" applyBorder="1" applyAlignment="1">
      <alignment horizontal="center"/>
    </xf>
    <xf numFmtId="165" fontId="0" fillId="0" borderId="19" xfId="1" applyNumberFormat="1" applyFont="1" applyFill="1" applyBorder="1" applyAlignment="1"/>
    <xf numFmtId="169" fontId="0" fillId="0" borderId="19" xfId="1" applyNumberFormat="1" applyFont="1" applyFill="1" applyBorder="1" applyAlignment="1">
      <alignment horizontal="right"/>
    </xf>
    <xf numFmtId="0" fontId="0" fillId="0" borderId="10" xfId="0" applyFont="1" applyFill="1" applyBorder="1" applyAlignment="1">
      <alignment horizontal="right"/>
    </xf>
    <xf numFmtId="44" fontId="8" fillId="0" borderId="8" xfId="2" applyFont="1" applyBorder="1" applyAlignment="1">
      <alignment horizontal="center"/>
    </xf>
    <xf numFmtId="168" fontId="8" fillId="0" borderId="14" xfId="1" applyNumberFormat="1" applyFont="1" applyFill="1" applyBorder="1" applyAlignment="1">
      <alignment horizontal="right" vertical="center"/>
    </xf>
    <xf numFmtId="170" fontId="8" fillId="0" borderId="19" xfId="0" applyNumberFormat="1" applyFont="1" applyFill="1" applyBorder="1" applyAlignment="1">
      <alignment horizontal="center"/>
    </xf>
    <xf numFmtId="1" fontId="8" fillId="0" borderId="19" xfId="0" applyNumberFormat="1" applyFont="1" applyFill="1" applyBorder="1" applyAlignment="1">
      <alignment horizontal="center"/>
    </xf>
    <xf numFmtId="0" fontId="8" fillId="0" borderId="0" xfId="0" applyFont="1" applyFill="1" applyBorder="1" applyAlignment="1">
      <alignment horizontal="center"/>
    </xf>
    <xf numFmtId="165" fontId="8" fillId="0" borderId="19" xfId="1" applyNumberFormat="1" applyFont="1" applyFill="1" applyBorder="1" applyAlignment="1"/>
    <xf numFmtId="165" fontId="8" fillId="0" borderId="10" xfId="1" applyNumberFormat="1" applyFont="1" applyFill="1" applyBorder="1" applyAlignment="1"/>
    <xf numFmtId="0" fontId="8" fillId="0" borderId="27" xfId="0" applyFont="1" applyBorder="1" applyAlignment="1">
      <alignment horizontal="center" wrapText="1"/>
    </xf>
    <xf numFmtId="43" fontId="8" fillId="0" borderId="19" xfId="1" applyNumberFormat="1" applyFont="1" applyFill="1" applyBorder="1" applyAlignment="1"/>
    <xf numFmtId="0" fontId="8" fillId="0" borderId="20" xfId="0" applyFont="1" applyBorder="1" applyAlignment="1">
      <alignment horizontal="center" wrapText="1"/>
    </xf>
    <xf numFmtId="0" fontId="10" fillId="0" borderId="3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xf>
    <xf numFmtId="0" fontId="0" fillId="0" borderId="0" xfId="0" applyFont="1" applyFill="1" applyAlignment="1">
      <alignment wrapText="1"/>
    </xf>
    <xf numFmtId="167" fontId="8" fillId="0" borderId="9" xfId="1" applyNumberFormat="1" applyFont="1" applyFill="1" applyBorder="1" applyAlignment="1">
      <alignment horizontal="center"/>
    </xf>
    <xf numFmtId="166" fontId="8" fillId="0" borderId="13" xfId="0" applyNumberFormat="1" applyFont="1" applyFill="1" applyBorder="1" applyAlignment="1">
      <alignment horizontal="right" vertical="center"/>
    </xf>
    <xf numFmtId="43" fontId="8" fillId="0" borderId="14" xfId="1" applyNumberFormat="1" applyFont="1" applyFill="1" applyBorder="1" applyAlignment="1">
      <alignment horizont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wrapText="1"/>
    </xf>
    <xf numFmtId="44" fontId="0" fillId="0" borderId="8" xfId="2" applyFont="1" applyFill="1" applyBorder="1" applyAlignment="1">
      <alignment horizontal="center" vertical="center"/>
    </xf>
    <xf numFmtId="0" fontId="0" fillId="0" borderId="8" xfId="0" applyFont="1" applyFill="1" applyBorder="1" applyAlignment="1">
      <alignment horizontal="center" vertical="center"/>
    </xf>
    <xf numFmtId="165" fontId="0" fillId="0" borderId="19" xfId="1" applyNumberFormat="1" applyFont="1" applyFill="1" applyBorder="1" applyAlignment="1">
      <alignment vertical="center"/>
    </xf>
    <xf numFmtId="0" fontId="0" fillId="0" borderId="20" xfId="0" applyFont="1" applyFill="1" applyBorder="1" applyAlignment="1">
      <alignment horizontal="center" vertical="center"/>
    </xf>
    <xf numFmtId="44" fontId="0" fillId="0" borderId="9" xfId="2" applyFont="1" applyFill="1" applyBorder="1" applyAlignment="1">
      <alignment vertical="center"/>
    </xf>
    <xf numFmtId="0" fontId="0" fillId="0" borderId="8" xfId="0" applyFont="1" applyFill="1" applyBorder="1" applyAlignment="1">
      <alignment horizontal="center" wrapText="1"/>
    </xf>
    <xf numFmtId="0" fontId="0" fillId="0" borderId="20" xfId="0" applyFont="1" applyFill="1" applyBorder="1" applyAlignment="1">
      <alignment horizontal="center" wrapText="1"/>
    </xf>
    <xf numFmtId="165" fontId="0" fillId="0" borderId="14" xfId="1" applyNumberFormat="1" applyFont="1" applyFill="1" applyBorder="1" applyAlignment="1">
      <alignment horizontal="right" vertical="center"/>
    </xf>
    <xf numFmtId="0" fontId="0" fillId="0" borderId="0" xfId="0" applyFont="1" applyFill="1" applyAlignment="1">
      <alignment horizontal="center"/>
    </xf>
    <xf numFmtId="0" fontId="0" fillId="0" borderId="13" xfId="0" applyFont="1" applyBorder="1" applyAlignment="1"/>
    <xf numFmtId="0" fontId="4" fillId="0" borderId="9" xfId="0" applyFont="1" applyFill="1" applyBorder="1" applyAlignment="1">
      <alignment horizontal="left" vertical="center"/>
    </xf>
    <xf numFmtId="0" fontId="4" fillId="0" borderId="10" xfId="0" applyFont="1" applyBorder="1" applyAlignment="1">
      <alignment vertical="center"/>
    </xf>
    <xf numFmtId="0" fontId="4" fillId="0" borderId="13" xfId="0" applyFont="1" applyBorder="1" applyAlignment="1">
      <alignment vertical="center"/>
    </xf>
    <xf numFmtId="37" fontId="0" fillId="0" borderId="14" xfId="1" applyNumberFormat="1" applyFont="1" applyFill="1" applyBorder="1" applyAlignment="1">
      <alignment horizontal="center" vertical="center"/>
    </xf>
    <xf numFmtId="0" fontId="4" fillId="0" borderId="10" xfId="0" applyFont="1" applyBorder="1" applyAlignment="1">
      <alignment horizontal="left" wrapText="1"/>
    </xf>
    <xf numFmtId="0" fontId="4" fillId="0" borderId="14" xfId="0" applyFont="1" applyBorder="1" applyAlignment="1">
      <alignment horizontal="left" wrapText="1"/>
    </xf>
    <xf numFmtId="0" fontId="4" fillId="0" borderId="13" xfId="0" applyFont="1" applyBorder="1" applyAlignment="1">
      <alignment horizontal="left" wrapText="1"/>
    </xf>
    <xf numFmtId="0" fontId="4" fillId="0" borderId="19" xfId="0" applyFont="1" applyFill="1" applyBorder="1" applyAlignment="1">
      <alignment horizontal="center" wrapText="1"/>
    </xf>
    <xf numFmtId="0" fontId="4" fillId="0" borderId="9" xfId="0" applyFont="1" applyFill="1" applyBorder="1" applyAlignment="1">
      <alignment horizontal="left"/>
    </xf>
    <xf numFmtId="0" fontId="0" fillId="0" borderId="20" xfId="0" applyFont="1" applyFill="1" applyBorder="1" applyAlignment="1">
      <alignment horizontal="center" vertical="center" wrapText="1"/>
    </xf>
    <xf numFmtId="164" fontId="0" fillId="0" borderId="8" xfId="0" applyNumberFormat="1" applyFont="1" applyFill="1" applyBorder="1" applyAlignment="1">
      <alignment horizontal="center" vertical="center"/>
    </xf>
    <xf numFmtId="164" fontId="0" fillId="0" borderId="9" xfId="2" applyNumberFormat="1" applyFont="1" applyFill="1" applyBorder="1" applyAlignment="1">
      <alignment horizontal="center" vertical="center"/>
    </xf>
    <xf numFmtId="164" fontId="0" fillId="0" borderId="0" xfId="0" applyNumberFormat="1" applyFont="1" applyFill="1" applyAlignment="1">
      <alignment horizontal="right"/>
    </xf>
    <xf numFmtId="0" fontId="0" fillId="0" borderId="0" xfId="0" applyFont="1" applyFill="1" applyAlignment="1">
      <alignment horizontal="right"/>
    </xf>
    <xf numFmtId="44" fontId="8" fillId="0" borderId="9" xfId="2" applyFont="1" applyBorder="1" applyAlignment="1">
      <alignment vertical="center" wrapText="1"/>
    </xf>
    <xf numFmtId="0" fontId="8" fillId="0" borderId="9" xfId="0" quotePrefix="1" applyFont="1" applyBorder="1" applyAlignment="1">
      <alignment horizontal="left"/>
    </xf>
    <xf numFmtId="0" fontId="8" fillId="0" borderId="14" xfId="0" applyFont="1" applyBorder="1"/>
    <xf numFmtId="0" fontId="10" fillId="0" borderId="14" xfId="0" applyFont="1" applyFill="1" applyBorder="1" applyAlignment="1">
      <alignment horizontal="right"/>
    </xf>
    <xf numFmtId="0" fontId="8" fillId="0" borderId="10" xfId="0" applyFont="1" applyBorder="1" applyAlignment="1"/>
    <xf numFmtId="0" fontId="8" fillId="0" borderId="14" xfId="0" applyFont="1" applyBorder="1" applyAlignment="1"/>
    <xf numFmtId="0" fontId="8" fillId="0" borderId="13" xfId="0" applyFont="1" applyBorder="1" applyAlignment="1"/>
    <xf numFmtId="0" fontId="0" fillId="0" borderId="0" xfId="0" applyFill="1" applyBorder="1" applyAlignment="1">
      <alignment horizontal="center" wrapText="1"/>
    </xf>
    <xf numFmtId="0" fontId="0" fillId="0" borderId="0" xfId="0" applyFont="1" applyFill="1" applyAlignment="1">
      <alignment vertical="top"/>
    </xf>
    <xf numFmtId="0" fontId="8" fillId="0" borderId="19" xfId="1" applyNumberFormat="1" applyFont="1" applyFill="1" applyBorder="1" applyAlignment="1">
      <alignment horizontal="center"/>
    </xf>
    <xf numFmtId="43" fontId="8" fillId="0" borderId="14" xfId="1" applyNumberFormat="1" applyFont="1" applyFill="1" applyBorder="1" applyAlignment="1">
      <alignment horizontal="center" vertical="center"/>
    </xf>
    <xf numFmtId="164" fontId="0" fillId="0" borderId="9" xfId="0" applyNumberFormat="1" applyFont="1" applyFill="1" applyBorder="1" applyAlignment="1">
      <alignment horizontal="center"/>
    </xf>
    <xf numFmtId="9" fontId="0" fillId="0" borderId="19" xfId="0" applyNumberFormat="1" applyFont="1" applyFill="1" applyBorder="1" applyAlignment="1">
      <alignment horizontal="center"/>
    </xf>
    <xf numFmtId="0" fontId="0" fillId="0" borderId="1" xfId="0" applyFont="1" applyFill="1" applyBorder="1" applyAlignment="1">
      <alignment horizontal="center"/>
    </xf>
    <xf numFmtId="0" fontId="0" fillId="0" borderId="14" xfId="0" applyFont="1" applyFill="1" applyBorder="1" applyAlignment="1">
      <alignment horizontal="center"/>
    </xf>
    <xf numFmtId="44" fontId="0" fillId="0" borderId="8" xfId="0" applyNumberFormat="1" applyFont="1" applyFill="1" applyBorder="1" applyAlignment="1">
      <alignment horizontal="center" wrapText="1"/>
    </xf>
    <xf numFmtId="0" fontId="0" fillId="0" borderId="19" xfId="0" applyFont="1" applyFill="1" applyBorder="1" applyAlignment="1">
      <alignment horizontal="center" wrapText="1"/>
    </xf>
    <xf numFmtId="164" fontId="0" fillId="0" borderId="8" xfId="0" applyNumberFormat="1" applyFont="1" applyFill="1" applyBorder="1" applyAlignment="1">
      <alignment horizontal="center" wrapText="1"/>
    </xf>
    <xf numFmtId="3" fontId="0" fillId="0" borderId="19" xfId="0" applyNumberFormat="1" applyFont="1" applyFill="1" applyBorder="1" applyAlignment="1">
      <alignment horizontal="center"/>
    </xf>
    <xf numFmtId="164" fontId="0" fillId="0" borderId="0" xfId="0" applyNumberFormat="1" applyFont="1" applyAlignment="1">
      <alignment horizontal="right" wrapText="1"/>
    </xf>
    <xf numFmtId="0" fontId="0" fillId="0" borderId="0" xfId="0" applyFont="1" applyAlignment="1">
      <alignment horizontal="center" wrapText="1"/>
    </xf>
    <xf numFmtId="0" fontId="0" fillId="0" borderId="0" xfId="0" applyFont="1" applyAlignment="1">
      <alignment horizontal="right" wrapText="1"/>
    </xf>
    <xf numFmtId="0" fontId="29" fillId="0" borderId="9" xfId="0" applyNumberFormat="1" applyFont="1" applyFill="1" applyBorder="1" applyAlignment="1" applyProtection="1"/>
    <xf numFmtId="0" fontId="8" fillId="0" borderId="10" xfId="0" applyFont="1" applyFill="1" applyBorder="1" applyAlignment="1"/>
    <xf numFmtId="0" fontId="8" fillId="0" borderId="13" xfId="0" applyFont="1" applyFill="1" applyBorder="1" applyAlignment="1"/>
    <xf numFmtId="0" fontId="0" fillId="0" borderId="14" xfId="0" applyFont="1" applyBorder="1" applyAlignment="1">
      <alignment vertical="center" wrapText="1"/>
    </xf>
    <xf numFmtId="165" fontId="0" fillId="0" borderId="14" xfId="1" applyNumberFormat="1" applyFont="1" applyBorder="1" applyAlignment="1">
      <alignment vertical="center"/>
    </xf>
    <xf numFmtId="0" fontId="31" fillId="0" borderId="10" xfId="0" applyFont="1" applyFill="1" applyBorder="1" applyAlignment="1">
      <alignment horizontal="left"/>
    </xf>
    <xf numFmtId="0" fontId="27" fillId="0" borderId="14" xfId="0" applyFont="1" applyFill="1" applyBorder="1" applyAlignment="1">
      <alignment horizontal="left"/>
    </xf>
    <xf numFmtId="44" fontId="0" fillId="0" borderId="8" xfId="2" applyFont="1" applyFill="1" applyBorder="1" applyAlignment="1">
      <alignment vertical="center"/>
    </xf>
    <xf numFmtId="0" fontId="0" fillId="0" borderId="9" xfId="0" quotePrefix="1" applyFont="1" applyBorder="1" applyAlignment="1">
      <alignment horizontal="center"/>
    </xf>
    <xf numFmtId="44" fontId="0" fillId="0" borderId="9" xfId="2" applyFont="1" applyBorder="1" applyAlignment="1">
      <alignment vertical="center"/>
    </xf>
    <xf numFmtId="44" fontId="0" fillId="0" borderId="13" xfId="0" applyNumberFormat="1" applyFont="1" applyFill="1" applyBorder="1" applyAlignment="1">
      <alignment horizontal="left"/>
    </xf>
    <xf numFmtId="0" fontId="0" fillId="0" borderId="10" xfId="2" applyNumberFormat="1" applyFont="1" applyFill="1" applyBorder="1" applyAlignment="1">
      <alignment horizontal="center"/>
    </xf>
    <xf numFmtId="178" fontId="0" fillId="0" borderId="19" xfId="0" applyNumberFormat="1" applyFont="1" applyFill="1" applyBorder="1" applyAlignment="1">
      <alignment horizontal="center"/>
    </xf>
    <xf numFmtId="177" fontId="0" fillId="0" borderId="8" xfId="2" applyNumberFormat="1" applyFont="1" applyFill="1" applyBorder="1" applyAlignment="1">
      <alignment horizontal="center"/>
    </xf>
    <xf numFmtId="178" fontId="0" fillId="0" borderId="10" xfId="0" applyNumberFormat="1" applyFont="1" applyFill="1" applyBorder="1" applyAlignment="1">
      <alignment horizontal="center"/>
    </xf>
    <xf numFmtId="177" fontId="0" fillId="0" borderId="9" xfId="0" applyNumberFormat="1" applyFont="1" applyFill="1" applyBorder="1"/>
    <xf numFmtId="0" fontId="4" fillId="0" borderId="12" xfId="0" applyFont="1" applyFill="1" applyBorder="1" applyAlignment="1">
      <alignment horizontal="center" wrapText="1"/>
    </xf>
    <xf numFmtId="2" fontId="8" fillId="0" borderId="9" xfId="0" applyNumberFormat="1" applyFont="1" applyBorder="1" applyAlignment="1">
      <alignment horizontal="center"/>
    </xf>
    <xf numFmtId="0" fontId="32" fillId="0" borderId="0" xfId="6" applyFont="1" applyAlignment="1">
      <alignment horizontal="left" vertical="center" wrapText="1"/>
    </xf>
    <xf numFmtId="0" fontId="34" fillId="6" borderId="44" xfId="0" applyFont="1" applyFill="1" applyBorder="1" applyAlignment="1">
      <alignment horizontal="center"/>
    </xf>
    <xf numFmtId="0" fontId="0" fillId="0" borderId="26" xfId="0" applyFont="1" applyFill="1" applyBorder="1"/>
    <xf numFmtId="0" fontId="4" fillId="0" borderId="13" xfId="0" applyFont="1" applyFill="1" applyBorder="1" applyAlignment="1">
      <alignment horizontal="center" vertical="center" textRotation="90" wrapText="1"/>
    </xf>
    <xf numFmtId="0" fontId="4" fillId="0" borderId="13" xfId="0" applyFont="1" applyFill="1" applyBorder="1" applyAlignment="1">
      <alignment horizontal="center" wrapText="1"/>
    </xf>
    <xf numFmtId="0" fontId="4" fillId="0" borderId="10" xfId="0" applyFont="1" applyFill="1" applyBorder="1" applyAlignment="1">
      <alignment horizontal="center" wrapText="1"/>
    </xf>
    <xf numFmtId="0" fontId="4" fillId="0" borderId="45" xfId="0" applyFont="1" applyFill="1" applyBorder="1" applyAlignment="1">
      <alignment horizontal="center" wrapText="1"/>
    </xf>
    <xf numFmtId="0" fontId="4" fillId="6" borderId="44" xfId="0" applyFont="1" applyFill="1" applyBorder="1" applyAlignment="1">
      <alignment horizontal="center" wrapText="1"/>
    </xf>
    <xf numFmtId="0" fontId="7" fillId="0" borderId="26" xfId="4" applyFont="1" applyFill="1" applyBorder="1" applyProtection="1"/>
    <xf numFmtId="49" fontId="10" fillId="0" borderId="46" xfId="5" applyNumberFormat="1" applyFont="1" applyFill="1" applyBorder="1" applyAlignment="1" applyProtection="1">
      <alignment horizontal="center" vertical="center" wrapText="1"/>
    </xf>
    <xf numFmtId="49" fontId="10" fillId="0" borderId="47" xfId="5" applyNumberFormat="1" applyFont="1" applyFill="1" applyBorder="1" applyAlignment="1" applyProtection="1">
      <alignment horizontal="center" vertical="center" wrapText="1"/>
    </xf>
    <xf numFmtId="49" fontId="10" fillId="0" borderId="29" xfId="5" applyNumberFormat="1" applyFont="1" applyFill="1" applyBorder="1" applyAlignment="1" applyProtection="1">
      <alignment horizontal="center" vertical="center" wrapText="1"/>
    </xf>
    <xf numFmtId="0" fontId="4" fillId="0" borderId="6"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5" xfId="0" applyFont="1" applyFill="1" applyBorder="1" applyAlignment="1">
      <alignment horizontal="center" vertical="center"/>
    </xf>
    <xf numFmtId="172" fontId="4" fillId="0" borderId="5"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6" borderId="49" xfId="0" applyFont="1" applyFill="1" applyBorder="1" applyAlignment="1">
      <alignment horizontal="center" vertical="center" wrapText="1"/>
    </xf>
    <xf numFmtId="0" fontId="8" fillId="0" borderId="26" xfId="4" applyFont="1" applyFill="1" applyBorder="1" applyAlignment="1" applyProtection="1">
      <alignment horizontal="center" vertical="top" wrapText="1"/>
    </xf>
    <xf numFmtId="0" fontId="0" fillId="0" borderId="12" xfId="0" applyFill="1" applyBorder="1" applyAlignment="1">
      <alignment horizontal="center"/>
    </xf>
    <xf numFmtId="0" fontId="8" fillId="0" borderId="20" xfId="4" applyFont="1" applyFill="1" applyBorder="1" applyAlignment="1" applyProtection="1">
      <alignment horizontal="center"/>
    </xf>
    <xf numFmtId="0" fontId="8" fillId="0" borderId="8" xfId="4" applyFont="1" applyFill="1" applyBorder="1" applyAlignment="1" applyProtection="1">
      <alignment horizontal="center"/>
    </xf>
    <xf numFmtId="0" fontId="8" fillId="0" borderId="25" xfId="4" applyFont="1" applyFill="1" applyBorder="1" applyAlignment="1" applyProtection="1">
      <alignment horizontal="center"/>
    </xf>
    <xf numFmtId="0" fontId="8" fillId="0" borderId="11" xfId="4" applyFont="1" applyFill="1" applyBorder="1" applyAlignment="1" applyProtection="1">
      <alignment horizontal="center"/>
    </xf>
    <xf numFmtId="0" fontId="8" fillId="0" borderId="44" xfId="4" applyFont="1" applyFill="1" applyBorder="1" applyAlignment="1" applyProtection="1">
      <alignment horizontal="center"/>
    </xf>
    <xf numFmtId="166" fontId="8" fillId="6" borderId="44" xfId="4" applyNumberFormat="1" applyFont="1" applyFill="1" applyBorder="1" applyAlignment="1" applyProtection="1">
      <alignment horizontal="center"/>
    </xf>
    <xf numFmtId="0" fontId="8" fillId="0" borderId="13" xfId="4" applyFont="1" applyFill="1" applyBorder="1" applyAlignment="1" applyProtection="1">
      <alignment horizontal="center"/>
    </xf>
    <xf numFmtId="0" fontId="8" fillId="0" borderId="12" xfId="4" applyFont="1" applyFill="1" applyBorder="1" applyAlignment="1" applyProtection="1">
      <alignment horizontal="center"/>
    </xf>
    <xf numFmtId="0" fontId="8" fillId="0" borderId="9" xfId="4" applyFont="1" applyFill="1" applyBorder="1" applyAlignment="1" applyProtection="1">
      <alignment horizontal="center"/>
    </xf>
    <xf numFmtId="0" fontId="8" fillId="0" borderId="45" xfId="4" applyFont="1" applyFill="1" applyBorder="1" applyAlignment="1" applyProtection="1">
      <alignment horizontal="center"/>
    </xf>
    <xf numFmtId="166" fontId="8" fillId="6" borderId="50" xfId="4" applyNumberFormat="1" applyFont="1" applyFill="1" applyBorder="1" applyAlignment="1" applyProtection="1">
      <alignment horizontal="center"/>
    </xf>
    <xf numFmtId="0" fontId="8" fillId="0" borderId="13" xfId="4" quotePrefix="1" applyFont="1" applyFill="1" applyBorder="1" applyAlignment="1" applyProtection="1">
      <alignment horizontal="center"/>
    </xf>
    <xf numFmtId="0" fontId="4" fillId="0" borderId="0" xfId="0" applyFont="1"/>
    <xf numFmtId="179" fontId="0" fillId="0" borderId="0" xfId="0" applyNumberFormat="1" applyFont="1"/>
    <xf numFmtId="49" fontId="0" fillId="0" borderId="0" xfId="0" applyNumberFormat="1"/>
    <xf numFmtId="0" fontId="0" fillId="0" borderId="0" xfId="0" applyAlignment="1">
      <alignment horizontal="left" wrapText="1"/>
    </xf>
    <xf numFmtId="0" fontId="36" fillId="0" borderId="51" xfId="7" applyBorder="1" applyAlignment="1">
      <alignment horizontal="center" vertical="center" wrapText="1"/>
    </xf>
    <xf numFmtId="0" fontId="4" fillId="0" borderId="18" xfId="0" applyFont="1" applyBorder="1" applyAlignment="1">
      <alignment horizontal="center" vertical="center" wrapText="1"/>
    </xf>
    <xf numFmtId="0" fontId="36" fillId="0" borderId="18" xfId="7" applyBorder="1" applyAlignment="1">
      <alignment horizontal="center" vertical="center" wrapText="1"/>
    </xf>
    <xf numFmtId="0" fontId="0" fillId="0" borderId="51" xfId="0" applyBorder="1" applyAlignment="1">
      <alignment vertical="center" wrapText="1"/>
    </xf>
    <xf numFmtId="0" fontId="0" fillId="0" borderId="18" xfId="0" applyBorder="1" applyAlignment="1">
      <alignment vertical="center" wrapText="1"/>
    </xf>
    <xf numFmtId="0" fontId="0" fillId="0" borderId="52" xfId="0" applyBorder="1" applyAlignment="1">
      <alignment vertical="center" wrapText="1"/>
    </xf>
    <xf numFmtId="0" fontId="0" fillId="0" borderId="42" xfId="0" applyBorder="1" applyAlignment="1">
      <alignment vertical="center" wrapText="1"/>
    </xf>
    <xf numFmtId="0" fontId="0" fillId="0" borderId="9" xfId="0" applyBorder="1" applyAlignment="1">
      <alignment vertical="top"/>
    </xf>
    <xf numFmtId="0" fontId="0" fillId="0" borderId="9" xfId="0" applyBorder="1" applyAlignment="1">
      <alignment horizontal="left" vertical="center"/>
    </xf>
    <xf numFmtId="0" fontId="0" fillId="0" borderId="9" xfId="0" applyBorder="1" applyAlignment="1">
      <alignment horizontal="center" vertical="center" wrapText="1"/>
    </xf>
    <xf numFmtId="0" fontId="25" fillId="0" borderId="8" xfId="0" applyFont="1" applyBorder="1" applyAlignment="1">
      <alignment horizontal="center" vertical="center" wrapText="1"/>
    </xf>
    <xf numFmtId="0" fontId="11" fillId="0" borderId="8" xfId="0" applyFont="1" applyBorder="1" applyAlignment="1">
      <alignment horizontal="center" vertical="center" wrapText="1"/>
    </xf>
    <xf numFmtId="0" fontId="39" fillId="0" borderId="53" xfId="8" applyFont="1" applyFill="1" applyBorder="1" applyAlignment="1">
      <alignment horizontal="center" vertical="center" wrapText="1"/>
    </xf>
    <xf numFmtId="0" fontId="25" fillId="0" borderId="8" xfId="0" applyNumberFormat="1" applyFont="1" applyBorder="1" applyAlignment="1">
      <alignment horizontal="center" vertical="center" wrapText="1"/>
    </xf>
    <xf numFmtId="0" fontId="25" fillId="0" borderId="8" xfId="0" applyFont="1" applyFill="1" applyBorder="1" applyAlignment="1">
      <alignment horizontal="center" vertical="center" wrapText="1"/>
    </xf>
    <xf numFmtId="1" fontId="8" fillId="0" borderId="9" xfId="0" applyNumberFormat="1" applyFont="1" applyFill="1" applyBorder="1" applyAlignment="1">
      <alignment horizontal="center"/>
    </xf>
    <xf numFmtId="0" fontId="40" fillId="0" borderId="9" xfId="0" applyFont="1" applyFill="1" applyBorder="1"/>
    <xf numFmtId="4" fontId="8" fillId="0" borderId="9" xfId="0" applyNumberFormat="1" applyFont="1" applyFill="1" applyBorder="1" applyAlignment="1">
      <alignment horizontal="center"/>
    </xf>
    <xf numFmtId="2" fontId="0" fillId="0" borderId="9" xfId="0" applyNumberFormat="1" applyFont="1" applyFill="1" applyBorder="1" applyAlignment="1">
      <alignment horizontal="center" vertical="center"/>
    </xf>
    <xf numFmtId="2" fontId="8" fillId="7" borderId="9" xfId="0" applyNumberFormat="1" applyFont="1" applyFill="1" applyBorder="1" applyAlignment="1">
      <alignment horizontal="center" vertical="center"/>
    </xf>
    <xf numFmtId="0" fontId="8" fillId="0" borderId="0" xfId="0" applyNumberFormat="1" applyFont="1"/>
    <xf numFmtId="0" fontId="37" fillId="8" borderId="9" xfId="0" applyFont="1" applyFill="1" applyBorder="1" applyAlignment="1">
      <alignment horizontal="center"/>
    </xf>
    <xf numFmtId="0" fontId="0" fillId="0" borderId="9" xfId="0" applyBorder="1" applyAlignment="1">
      <alignment horizontal="center" vertical="center"/>
    </xf>
    <xf numFmtId="0" fontId="0" fillId="0" borderId="0" xfId="0" applyAlignment="1">
      <alignment horizontal="left"/>
    </xf>
    <xf numFmtId="0" fontId="4" fillId="0" borderId="0" xfId="0" applyFont="1" applyAlignment="1">
      <alignment horizontal="left"/>
    </xf>
    <xf numFmtId="0" fontId="34" fillId="0" borderId="0" xfId="0" applyFont="1"/>
    <xf numFmtId="0" fontId="0" fillId="0" borderId="9" xfId="0" applyBorder="1" applyAlignment="1">
      <alignment horizontal="left" vertical="top" wrapText="1"/>
    </xf>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8" fillId="0" borderId="0" xfId="0" applyFont="1" applyAlignment="1">
      <alignment horizontal="left" wrapText="1"/>
    </xf>
    <xf numFmtId="0" fontId="8" fillId="0" borderId="0" xfId="0" applyFont="1" applyAlignment="1"/>
    <xf numFmtId="0" fontId="10" fillId="0" borderId="7" xfId="0" applyFont="1" applyBorder="1" applyAlignment="1">
      <alignment horizontal="center" wrapText="1"/>
    </xf>
    <xf numFmtId="0" fontId="10" fillId="0" borderId="12" xfId="0" applyFont="1" applyFill="1" applyBorder="1" applyAlignment="1">
      <alignment horizontal="center" wrapText="1"/>
    </xf>
    <xf numFmtId="0" fontId="10" fillId="0" borderId="0" xfId="0" applyFont="1" applyFill="1" applyBorder="1" applyAlignment="1">
      <alignment horizontal="center" wrapText="1"/>
    </xf>
    <xf numFmtId="0" fontId="8" fillId="0" borderId="7" xfId="0" applyFont="1" applyBorder="1" applyAlignment="1">
      <alignment horizontal="center" wrapText="1"/>
    </xf>
    <xf numFmtId="15" fontId="8" fillId="0" borderId="9" xfId="0" applyNumberFormat="1" applyFont="1" applyBorder="1" applyAlignment="1">
      <alignment horizontal="center" wrapText="1"/>
    </xf>
    <xf numFmtId="2" fontId="8" fillId="0" borderId="9" xfId="0" applyNumberFormat="1" applyFont="1" applyBorder="1" applyAlignment="1">
      <alignment horizontal="center" wrapText="1"/>
    </xf>
    <xf numFmtId="166" fontId="8" fillId="0" borderId="12" xfId="0" applyNumberFormat="1" applyFont="1" applyBorder="1" applyAlignment="1">
      <alignment horizontal="center"/>
    </xf>
    <xf numFmtId="0" fontId="8" fillId="0" borderId="7" xfId="0" applyFont="1" applyBorder="1" applyAlignment="1">
      <alignment horizontal="left" wrapText="1"/>
    </xf>
    <xf numFmtId="166" fontId="8" fillId="0" borderId="0" xfId="0" applyNumberFormat="1" applyFont="1" applyAlignment="1">
      <alignment horizontal="center"/>
    </xf>
    <xf numFmtId="166" fontId="8" fillId="0" borderId="0" xfId="0" applyNumberFormat="1" applyFont="1"/>
    <xf numFmtId="0" fontId="8" fillId="0" borderId="0" xfId="0" applyFont="1" applyAlignment="1">
      <alignment wrapText="1"/>
    </xf>
    <xf numFmtId="172" fontId="8" fillId="0" borderId="9" xfId="0" applyNumberFormat="1" applyFont="1" applyBorder="1" applyAlignment="1">
      <alignment horizontal="center"/>
    </xf>
    <xf numFmtId="15" fontId="8" fillId="0" borderId="9" xfId="0" applyNumberFormat="1" applyFont="1" applyBorder="1" applyAlignment="1">
      <alignment horizontal="center"/>
    </xf>
    <xf numFmtId="0" fontId="8" fillId="0" borderId="7" xfId="0" applyFont="1" applyFill="1" applyBorder="1" applyAlignment="1">
      <alignment horizontal="left"/>
    </xf>
    <xf numFmtId="0" fontId="8" fillId="0" borderId="41" xfId="0" applyFont="1" applyFill="1" applyBorder="1" applyAlignment="1">
      <alignment horizontal="left"/>
    </xf>
    <xf numFmtId="172" fontId="8" fillId="0" borderId="15" xfId="0" applyNumberFormat="1" applyFont="1" applyBorder="1" applyAlignment="1">
      <alignment horizontal="center"/>
    </xf>
    <xf numFmtId="0" fontId="8" fillId="5" borderId="28" xfId="0" applyFont="1" applyFill="1" applyBorder="1" applyAlignment="1">
      <alignment horizontal="left"/>
    </xf>
    <xf numFmtId="0" fontId="8" fillId="5" borderId="30" xfId="0" applyFont="1" applyFill="1" applyBorder="1"/>
    <xf numFmtId="0" fontId="8" fillId="5" borderId="30" xfId="0" applyFont="1" applyFill="1" applyBorder="1" applyAlignment="1">
      <alignment horizontal="center"/>
    </xf>
    <xf numFmtId="172" fontId="8" fillId="5" borderId="30" xfId="0" applyNumberFormat="1" applyFont="1" applyFill="1" applyBorder="1" applyAlignment="1">
      <alignment horizontal="center"/>
    </xf>
    <xf numFmtId="166" fontId="10" fillId="5" borderId="42" xfId="0" applyNumberFormat="1" applyFont="1" applyFill="1" applyBorder="1" applyAlignment="1">
      <alignment horizontal="center"/>
    </xf>
    <xf numFmtId="166" fontId="8" fillId="0" borderId="10" xfId="0" applyNumberFormat="1" applyFont="1" applyFill="1" applyBorder="1"/>
    <xf numFmtId="9" fontId="8" fillId="0" borderId="9" xfId="0" applyNumberFormat="1" applyFont="1" applyFill="1" applyBorder="1" applyAlignment="1">
      <alignment horizontal="center"/>
    </xf>
    <xf numFmtId="0" fontId="0" fillId="0" borderId="0" xfId="0" applyFill="1" applyAlignment="1">
      <alignment vertical="center" wrapText="1"/>
    </xf>
    <xf numFmtId="0" fontId="0" fillId="0" borderId="0" xfId="0" applyFont="1" applyFill="1" applyBorder="1" applyAlignment="1">
      <alignment vertical="top" wrapText="1"/>
    </xf>
    <xf numFmtId="0" fontId="0" fillId="0" borderId="0" xfId="0" applyFill="1" applyBorder="1" applyAlignment="1">
      <alignment vertical="center"/>
    </xf>
    <xf numFmtId="0" fontId="8" fillId="0" borderId="19" xfId="0" applyFont="1" applyFill="1" applyBorder="1" applyAlignment="1">
      <alignment horizontal="center" wrapText="1"/>
    </xf>
    <xf numFmtId="0" fontId="8" fillId="0" borderId="9" xfId="0" applyFont="1" applyBorder="1" applyAlignment="1"/>
    <xf numFmtId="165" fontId="8" fillId="0" borderId="32" xfId="1" applyNumberFormat="1" applyFont="1" applyFill="1" applyBorder="1" applyAlignment="1"/>
    <xf numFmtId="2" fontId="8" fillId="0" borderId="9" xfId="0" applyNumberFormat="1" applyFont="1" applyFill="1" applyBorder="1" applyAlignment="1">
      <alignment vertical="center" wrapText="1"/>
    </xf>
    <xf numFmtId="0" fontId="8" fillId="0" borderId="10" xfId="0" applyNumberFormat="1" applyFont="1" applyFill="1" applyBorder="1" applyAlignment="1">
      <alignment vertical="center" wrapText="1"/>
    </xf>
    <xf numFmtId="0" fontId="8" fillId="0" borderId="13" xfId="0" applyNumberFormat="1" applyFont="1" applyFill="1" applyBorder="1" applyAlignment="1">
      <alignment vertical="center" wrapText="1"/>
    </xf>
    <xf numFmtId="37" fontId="0" fillId="0" borderId="14" xfId="1" applyNumberFormat="1" applyFont="1" applyFill="1" applyBorder="1" applyAlignment="1">
      <alignment vertical="center"/>
    </xf>
    <xf numFmtId="0" fontId="0" fillId="0" borderId="0" xfId="0" applyFont="1" applyFill="1" applyAlignment="1">
      <alignment vertical="top" wrapText="1"/>
    </xf>
    <xf numFmtId="0" fontId="0" fillId="0" borderId="0" xfId="0" applyFill="1" applyBorder="1" applyAlignment="1">
      <alignment horizontal="center" vertical="center" wrapText="1"/>
    </xf>
    <xf numFmtId="8" fontId="0" fillId="0" borderId="0" xfId="0" applyNumberFormat="1" applyFill="1" applyBorder="1" applyAlignment="1">
      <alignment horizontal="center"/>
    </xf>
    <xf numFmtId="8" fontId="0" fillId="0" borderId="0" xfId="0" applyNumberFormat="1" applyFill="1"/>
    <xf numFmtId="44" fontId="0" fillId="0" borderId="0" xfId="2" applyFont="1" applyFill="1" applyAlignment="1">
      <alignment wrapText="1"/>
    </xf>
    <xf numFmtId="0" fontId="18" fillId="0" borderId="0" xfId="0" applyFont="1" applyFill="1" applyAlignment="1">
      <alignment horizontal="center" wrapText="1"/>
    </xf>
    <xf numFmtId="0" fontId="0" fillId="0" borderId="0" xfId="0" applyFill="1" applyAlignment="1">
      <alignment horizontal="center" vertical="center"/>
    </xf>
    <xf numFmtId="43" fontId="0" fillId="0" borderId="0" xfId="1" applyFont="1" applyFill="1" applyAlignment="1">
      <alignment horizontal="center"/>
    </xf>
    <xf numFmtId="44" fontId="0" fillId="0" borderId="0" xfId="0" applyNumberFormat="1" applyFill="1" applyAlignment="1"/>
    <xf numFmtId="44" fontId="0" fillId="0" borderId="0" xfId="2" applyFont="1" applyFill="1" applyAlignment="1">
      <alignment horizontal="center"/>
    </xf>
    <xf numFmtId="0" fontId="4" fillId="0" borderId="37" xfId="0" applyFont="1" applyFill="1" applyBorder="1" applyAlignment="1">
      <alignment horizontal="center"/>
    </xf>
    <xf numFmtId="0" fontId="0" fillId="0" borderId="7" xfId="0" applyFill="1" applyBorder="1" applyAlignment="1">
      <alignment horizontal="center"/>
    </xf>
    <xf numFmtId="15" fontId="4" fillId="0" borderId="0" xfId="0" applyNumberFormat="1" applyFont="1" applyFill="1" applyAlignment="1">
      <alignment horizontal="center"/>
    </xf>
    <xf numFmtId="0" fontId="4" fillId="0" borderId="0" xfId="0" applyFont="1" applyFill="1" applyBorder="1" applyAlignment="1">
      <alignment horizontal="center" vertical="center"/>
    </xf>
    <xf numFmtId="0" fontId="15" fillId="0" borderId="0" xfId="0" applyFont="1" applyFill="1" applyAlignment="1">
      <alignment horizontal="left" vertical="top" wrapText="1"/>
    </xf>
    <xf numFmtId="9" fontId="0" fillId="0" borderId="0" xfId="3" applyFont="1" applyFill="1" applyBorder="1" applyAlignment="1"/>
    <xf numFmtId="9" fontId="0" fillId="0" borderId="0" xfId="3" applyFont="1" applyFill="1" applyAlignment="1">
      <alignment vertical="center"/>
    </xf>
    <xf numFmtId="44" fontId="0" fillId="0" borderId="0" xfId="0" applyNumberFormat="1" applyFill="1" applyAlignment="1">
      <alignment horizontal="left" vertical="center" wrapText="1"/>
    </xf>
    <xf numFmtId="0" fontId="0" fillId="0" borderId="0" xfId="0" applyFill="1" applyBorder="1" applyAlignment="1">
      <alignment horizontal="center" vertical="center"/>
    </xf>
    <xf numFmtId="0" fontId="15" fillId="0" borderId="0" xfId="0" applyFont="1" applyFill="1" applyBorder="1" applyAlignment="1">
      <alignment vertical="center" wrapText="1"/>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0" xfId="0" applyFill="1" applyBorder="1" applyAlignment="1">
      <alignment vertical="center" wrapText="1"/>
    </xf>
    <xf numFmtId="0" fontId="5" fillId="0" borderId="0" xfId="0" applyFont="1" applyFill="1" applyBorder="1" applyAlignment="1">
      <alignment vertical="top" wrapText="1"/>
    </xf>
    <xf numFmtId="164" fontId="8" fillId="0" borderId="0" xfId="0" applyNumberFormat="1" applyFont="1" applyFill="1" applyBorder="1" applyAlignment="1">
      <alignment vertical="top" wrapText="1"/>
    </xf>
    <xf numFmtId="44" fontId="0" fillId="0" borderId="0" xfId="0" applyNumberFormat="1" applyFill="1" applyBorder="1" applyAlignment="1">
      <alignment vertical="center" wrapText="1"/>
    </xf>
    <xf numFmtId="44" fontId="0" fillId="0" borderId="0" xfId="0" applyNumberFormat="1" applyFill="1" applyBorder="1" applyAlignment="1">
      <alignment vertical="top" wrapText="1"/>
    </xf>
    <xf numFmtId="0" fontId="8" fillId="0" borderId="0" xfId="0" applyFont="1" applyFill="1" applyBorder="1" applyAlignment="1">
      <alignment vertical="center"/>
    </xf>
    <xf numFmtId="0" fontId="15" fillId="0" borderId="0" xfId="0" applyFont="1" applyFill="1" applyBorder="1" applyAlignment="1">
      <alignment vertical="top"/>
    </xf>
    <xf numFmtId="0" fontId="16" fillId="0" borderId="0" xfId="0" applyFont="1" applyFill="1" applyBorder="1" applyAlignment="1">
      <alignment wrapText="1"/>
    </xf>
    <xf numFmtId="0" fontId="0" fillId="0" borderId="0" xfId="0" applyFill="1" applyBorder="1" applyAlignment="1">
      <alignment vertical="top"/>
    </xf>
    <xf numFmtId="0" fontId="4" fillId="0" borderId="0" xfId="0" applyFont="1" applyFill="1" applyBorder="1" applyAlignment="1">
      <alignment wrapText="1"/>
    </xf>
    <xf numFmtId="0" fontId="5" fillId="0" borderId="0" xfId="0" applyFont="1" applyFill="1" applyBorder="1" applyAlignment="1">
      <alignment vertical="center" wrapText="1"/>
    </xf>
    <xf numFmtId="0" fontId="0" fillId="0" borderId="0" xfId="0" applyFont="1" applyBorder="1" applyAlignment="1"/>
    <xf numFmtId="0" fontId="0" fillId="0" borderId="0" xfId="0" applyBorder="1" applyAlignment="1">
      <alignment horizontal="right"/>
    </xf>
    <xf numFmtId="164" fontId="0" fillId="0" borderId="0" xfId="0" applyNumberFormat="1" applyFont="1" applyFill="1" applyBorder="1" applyAlignment="1">
      <alignment vertical="center" wrapText="1"/>
    </xf>
    <xf numFmtId="164" fontId="0" fillId="0" borderId="0" xfId="0" applyNumberFormat="1" applyFont="1" applyFill="1" applyBorder="1" applyAlignment="1">
      <alignment vertical="center"/>
    </xf>
    <xf numFmtId="164" fontId="8" fillId="0" borderId="0" xfId="0" applyNumberFormat="1" applyFont="1" applyFill="1" applyBorder="1" applyAlignment="1">
      <alignment wrapText="1"/>
    </xf>
    <xf numFmtId="164" fontId="0" fillId="0" borderId="0" xfId="0" applyNumberFormat="1" applyFont="1" applyFill="1" applyBorder="1" applyAlignment="1">
      <alignment wrapText="1"/>
    </xf>
    <xf numFmtId="3" fontId="0" fillId="0" borderId="0" xfId="0" applyNumberFormat="1" applyFont="1" applyFill="1" applyBorder="1" applyAlignment="1">
      <alignment vertical="top" wrapText="1"/>
    </xf>
    <xf numFmtId="164" fontId="0" fillId="0" borderId="0" xfId="0" applyNumberFormat="1" applyFont="1" applyFill="1" applyBorder="1" applyAlignment="1"/>
    <xf numFmtId="0" fontId="8" fillId="0" borderId="19" xfId="0" applyFont="1" applyFill="1" applyBorder="1" applyAlignment="1">
      <alignment vertical="top" wrapText="1"/>
    </xf>
    <xf numFmtId="0" fontId="8" fillId="0" borderId="1" xfId="0" applyFont="1" applyFill="1" applyBorder="1" applyAlignment="1">
      <alignment vertical="top" wrapText="1"/>
    </xf>
    <xf numFmtId="0" fontId="8" fillId="0" borderId="20" xfId="0" applyFont="1" applyFill="1" applyBorder="1" applyAlignment="1">
      <alignment vertical="top" wrapText="1"/>
    </xf>
    <xf numFmtId="0" fontId="0" fillId="0" borderId="8" xfId="0" applyFont="1" applyBorder="1" applyAlignment="1">
      <alignment horizontal="center"/>
    </xf>
    <xf numFmtId="0" fontId="8" fillId="0" borderId="9" xfId="0" applyFont="1" applyFill="1" applyBorder="1" applyAlignment="1">
      <alignment horizontal="left" wrapText="1"/>
    </xf>
    <xf numFmtId="0" fontId="8" fillId="0" borderId="22" xfId="0" applyFont="1" applyFill="1" applyBorder="1" applyAlignment="1">
      <alignment horizontal="left"/>
    </xf>
    <xf numFmtId="0" fontId="8" fillId="0" borderId="10" xfId="0" applyFont="1" applyFill="1" applyBorder="1" applyAlignment="1">
      <alignment horizontal="center"/>
    </xf>
    <xf numFmtId="0" fontId="8" fillId="0" borderId="9" xfId="0" applyFont="1" applyBorder="1" applyAlignment="1">
      <alignment horizontal="center" vertical="center"/>
    </xf>
    <xf numFmtId="165" fontId="8" fillId="0" borderId="13" xfId="1" applyNumberFormat="1" applyFont="1" applyFill="1" applyBorder="1" applyAlignment="1">
      <alignment horizontal="center" vertical="center"/>
    </xf>
    <xf numFmtId="3" fontId="8" fillId="0" borderId="9" xfId="0" applyNumberFormat="1" applyFont="1" applyFill="1" applyBorder="1" applyAlignment="1">
      <alignment vertical="center"/>
    </xf>
    <xf numFmtId="3" fontId="0" fillId="0" borderId="14" xfId="1" applyNumberFormat="1" applyFont="1" applyFill="1" applyBorder="1" applyAlignment="1">
      <alignment vertical="center"/>
    </xf>
    <xf numFmtId="39" fontId="8" fillId="0" borderId="9" xfId="2" applyNumberFormat="1" applyFont="1" applyFill="1" applyBorder="1" applyAlignment="1">
      <alignment horizontal="center"/>
    </xf>
    <xf numFmtId="44" fontId="8" fillId="0" borderId="10" xfId="0" applyNumberFormat="1" applyFont="1" applyFill="1" applyBorder="1" applyAlignment="1">
      <alignment horizontal="center"/>
    </xf>
    <xf numFmtId="39" fontId="8" fillId="0" borderId="8" xfId="0" applyNumberFormat="1" applyFont="1" applyFill="1" applyBorder="1" applyAlignment="1">
      <alignment vertical="center"/>
    </xf>
    <xf numFmtId="15" fontId="8" fillId="0" borderId="15" xfId="0" applyNumberFormat="1" applyFont="1" applyBorder="1" applyAlignment="1">
      <alignment horizontal="center"/>
    </xf>
    <xf numFmtId="0" fontId="10" fillId="0" borderId="10" xfId="0" applyFont="1" applyFill="1" applyBorder="1" applyAlignment="1">
      <alignment horizontal="center" wrapText="1"/>
    </xf>
    <xf numFmtId="0" fontId="8" fillId="0" borderId="9" xfId="0" applyFont="1" applyFill="1" applyBorder="1" applyAlignment="1">
      <alignment horizontal="left"/>
    </xf>
    <xf numFmtId="0" fontId="8" fillId="0" borderId="10" xfId="0" applyFont="1" applyFill="1" applyBorder="1" applyAlignment="1">
      <alignment horizontal="center"/>
    </xf>
    <xf numFmtId="0" fontId="8" fillId="0" borderId="13" xfId="0" applyFont="1" applyFill="1" applyBorder="1" applyAlignment="1">
      <alignment horizontal="center"/>
    </xf>
    <xf numFmtId="166" fontId="8" fillId="0" borderId="10" xfId="0" applyNumberFormat="1" applyFont="1" applyFill="1" applyBorder="1" applyAlignment="1">
      <alignment horizontal="center" wrapText="1"/>
    </xf>
    <xf numFmtId="0" fontId="10" fillId="0" borderId="10" xfId="0" applyFont="1" applyBorder="1" applyAlignment="1">
      <alignment horizontal="center" vertical="center"/>
    </xf>
    <xf numFmtId="0" fontId="19" fillId="0" borderId="22" xfId="0" applyFont="1" applyFill="1" applyBorder="1" applyAlignment="1">
      <alignment horizontal="left" vertical="top" wrapText="1"/>
    </xf>
    <xf numFmtId="0" fontId="10" fillId="0" borderId="9" xfId="0" applyFont="1" applyFill="1" applyBorder="1" applyAlignment="1">
      <alignment horizontal="center"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8" fillId="0" borderId="20" xfId="0" applyFont="1" applyFill="1" applyBorder="1" applyAlignment="1">
      <alignment horizontal="center"/>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37" fontId="0" fillId="0" borderId="9" xfId="1" applyNumberFormat="1" applyFont="1" applyFill="1" applyBorder="1" applyAlignment="1">
      <alignment horizontal="center"/>
    </xf>
    <xf numFmtId="0" fontId="8" fillId="0" borderId="14" xfId="0" applyNumberFormat="1" applyFont="1" applyFill="1" applyBorder="1" applyAlignment="1">
      <alignment horizontal="right" vertical="center"/>
    </xf>
    <xf numFmtId="0" fontId="8" fillId="2" borderId="0" xfId="0" applyFont="1" applyFill="1" applyBorder="1" applyAlignment="1">
      <alignment horizontal="center"/>
    </xf>
    <xf numFmtId="44" fontId="8" fillId="0" borderId="10" xfId="2" applyFont="1" applyFill="1" applyBorder="1" applyAlignment="1">
      <alignment vertical="center"/>
    </xf>
    <xf numFmtId="166" fontId="0" fillId="0" borderId="9" xfId="0" applyNumberFormat="1" applyFill="1" applyBorder="1" applyAlignment="1">
      <alignment horizontal="center"/>
    </xf>
    <xf numFmtId="164" fontId="22" fillId="0" borderId="0" xfId="0" applyNumberFormat="1" applyFont="1" applyFill="1" applyAlignment="1">
      <alignment horizontal="right"/>
    </xf>
    <xf numFmtId="0" fontId="0" fillId="0" borderId="4" xfId="0" applyFill="1" applyBorder="1" applyAlignment="1">
      <alignment horizontal="center"/>
    </xf>
    <xf numFmtId="0" fontId="0" fillId="0" borderId="5" xfId="0" applyFill="1" applyBorder="1" applyAlignment="1">
      <alignment wrapText="1"/>
    </xf>
    <xf numFmtId="164" fontId="0" fillId="0" borderId="5" xfId="0" applyNumberFormat="1" applyFill="1" applyBorder="1" applyAlignment="1">
      <alignment horizontal="right"/>
    </xf>
    <xf numFmtId="0" fontId="0" fillId="0" borderId="5" xfId="0" applyFill="1" applyBorder="1" applyAlignment="1">
      <alignment horizontal="center"/>
    </xf>
    <xf numFmtId="166" fontId="0" fillId="0" borderId="5" xfId="0" applyNumberFormat="1" applyFill="1" applyBorder="1" applyAlignment="1">
      <alignment horizontal="center"/>
    </xf>
    <xf numFmtId="0" fontId="0" fillId="0" borderId="6" xfId="0" applyFill="1" applyBorder="1" applyAlignment="1">
      <alignment horizontal="center"/>
    </xf>
    <xf numFmtId="0" fontId="0" fillId="0" borderId="10" xfId="0" applyFont="1" applyFill="1" applyBorder="1" applyAlignment="1">
      <alignment vertical="center" wrapText="1"/>
    </xf>
    <xf numFmtId="3" fontId="0" fillId="0" borderId="36" xfId="0" applyNumberFormat="1" applyFont="1" applyFill="1" applyBorder="1" applyAlignment="1">
      <alignment vertical="center"/>
    </xf>
    <xf numFmtId="44" fontId="0" fillId="0" borderId="0" xfId="0" applyNumberFormat="1" applyFont="1" applyFill="1" applyBorder="1" applyAlignment="1">
      <alignment horizontal="left" vertical="top" wrapText="1"/>
    </xf>
    <xf numFmtId="0" fontId="0" fillId="0" borderId="0" xfId="0" applyFill="1" applyAlignment="1">
      <alignment horizontal="left"/>
    </xf>
    <xf numFmtId="0" fontId="8" fillId="0" borderId="9" xfId="0" applyNumberFormat="1" applyFont="1" applyFill="1" applyBorder="1" applyAlignment="1">
      <alignment horizontal="center" wrapText="1"/>
    </xf>
    <xf numFmtId="164" fontId="8" fillId="0" borderId="9" xfId="0" applyNumberFormat="1" applyFont="1" applyFill="1" applyBorder="1" applyAlignment="1">
      <alignment horizontal="right" wrapText="1"/>
    </xf>
    <xf numFmtId="3" fontId="8" fillId="0" borderId="9" xfId="2" applyNumberFormat="1" applyFont="1" applyFill="1" applyBorder="1" applyAlignment="1">
      <alignment horizontal="right"/>
    </xf>
    <xf numFmtId="0" fontId="8" fillId="0" borderId="56" xfId="0" applyFont="1" applyFill="1" applyBorder="1" applyAlignment="1">
      <alignment horizontal="center"/>
    </xf>
    <xf numFmtId="16" fontId="8" fillId="0" borderId="15" xfId="0" quotePrefix="1" applyNumberFormat="1" applyFont="1" applyFill="1" applyBorder="1" applyAlignment="1">
      <alignment horizontal="center"/>
    </xf>
    <xf numFmtId="44" fontId="8" fillId="0" borderId="15" xfId="2" applyFont="1" applyFill="1" applyBorder="1" applyAlignment="1">
      <alignment horizontal="center"/>
    </xf>
    <xf numFmtId="0" fontId="8" fillId="0" borderId="23" xfId="0" applyFont="1" applyFill="1" applyBorder="1" applyAlignment="1">
      <alignment horizontal="center"/>
    </xf>
    <xf numFmtId="2" fontId="8" fillId="0" borderId="15" xfId="0" applyNumberFormat="1" applyFont="1" applyFill="1" applyBorder="1" applyAlignment="1">
      <alignment horizontal="center"/>
    </xf>
    <xf numFmtId="0" fontId="8" fillId="0" borderId="9" xfId="0" quotePrefix="1" applyNumberFormat="1" applyFont="1" applyFill="1" applyBorder="1" applyAlignment="1">
      <alignment horizontal="center"/>
    </xf>
    <xf numFmtId="166" fontId="0" fillId="0" borderId="13" xfId="0" applyNumberFormat="1" applyFont="1" applyBorder="1" applyAlignment="1">
      <alignment horizontal="center" vertical="center"/>
    </xf>
    <xf numFmtId="3" fontId="8" fillId="0" borderId="9" xfId="0" applyNumberFormat="1" applyFont="1" applyFill="1" applyBorder="1" applyAlignment="1">
      <alignment horizontal="center" vertical="center"/>
    </xf>
    <xf numFmtId="3" fontId="8" fillId="0" borderId="13" xfId="0" applyNumberFormat="1" applyFont="1" applyFill="1" applyBorder="1" applyAlignment="1">
      <alignment horizontal="right" vertical="center"/>
    </xf>
    <xf numFmtId="10" fontId="0" fillId="0" borderId="9" xfId="0" applyNumberFormat="1" applyFont="1" applyFill="1" applyBorder="1" applyAlignment="1">
      <alignment horizontal="center"/>
    </xf>
    <xf numFmtId="10" fontId="0" fillId="0" borderId="9" xfId="3" applyNumberFormat="1" applyFont="1" applyFill="1" applyBorder="1" applyAlignment="1">
      <alignment horizontal="center" wrapText="1"/>
    </xf>
    <xf numFmtId="180" fontId="0" fillId="0" borderId="8" xfId="2" applyNumberFormat="1" applyFont="1" applyFill="1" applyBorder="1" applyAlignment="1">
      <alignment horizontal="center"/>
    </xf>
    <xf numFmtId="0" fontId="8" fillId="0" borderId="9" xfId="0" applyFont="1" applyFill="1" applyBorder="1" applyAlignment="1">
      <alignment horizontal="left"/>
    </xf>
    <xf numFmtId="0" fontId="8" fillId="0" borderId="10" xfId="0" applyFont="1" applyFill="1" applyBorder="1" applyAlignment="1">
      <alignment horizontal="left"/>
    </xf>
    <xf numFmtId="0" fontId="8" fillId="0" borderId="14" xfId="0" applyFont="1" applyFill="1" applyBorder="1" applyAlignment="1">
      <alignment horizontal="left"/>
    </xf>
    <xf numFmtId="0" fontId="10" fillId="0" borderId="9" xfId="0" applyFont="1" applyFill="1" applyBorder="1" applyAlignment="1">
      <alignment horizontal="center"/>
    </xf>
    <xf numFmtId="166" fontId="8" fillId="0" borderId="10" xfId="0" applyNumberFormat="1" applyFont="1" applyFill="1" applyBorder="1" applyAlignment="1">
      <alignment horizontal="center"/>
    </xf>
    <xf numFmtId="0" fontId="10" fillId="0" borderId="9" xfId="0" applyFont="1" applyFill="1" applyBorder="1" applyAlignment="1">
      <alignment horizontal="center"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8" fillId="0" borderId="19" xfId="0" applyFont="1" applyFill="1" applyBorder="1" applyAlignment="1">
      <alignment horizontal="center"/>
    </xf>
    <xf numFmtId="0" fontId="8" fillId="0" borderId="20" xfId="0" applyFont="1" applyFill="1" applyBorder="1" applyAlignment="1">
      <alignment horizontal="center"/>
    </xf>
    <xf numFmtId="180" fontId="0" fillId="0" borderId="8" xfId="2" applyNumberFormat="1" applyFont="1" applyFill="1" applyBorder="1" applyAlignment="1">
      <alignment horizontal="center" vertical="center"/>
    </xf>
    <xf numFmtId="3" fontId="0" fillId="0" borderId="14" xfId="0" applyNumberFormat="1" applyFont="1" applyFill="1" applyBorder="1" applyAlignment="1">
      <alignment vertical="center" wrapText="1"/>
    </xf>
    <xf numFmtId="3" fontId="0" fillId="0" borderId="10" xfId="0" applyNumberFormat="1" applyFont="1" applyFill="1" applyBorder="1"/>
    <xf numFmtId="172" fontId="8" fillId="0" borderId="9" xfId="0" applyNumberFormat="1" applyFont="1" applyFill="1" applyBorder="1" applyAlignment="1">
      <alignment horizontal="center"/>
    </xf>
    <xf numFmtId="0" fontId="0" fillId="0" borderId="5" xfId="0" applyBorder="1" applyAlignment="1">
      <alignment horizontal="center"/>
    </xf>
    <xf numFmtId="0" fontId="8" fillId="0" borderId="0" xfId="0" applyFont="1" applyBorder="1"/>
    <xf numFmtId="0" fontId="40" fillId="0" borderId="0" xfId="0" applyFont="1" applyBorder="1"/>
    <xf numFmtId="0" fontId="8" fillId="0" borderId="0" xfId="0" applyNumberFormat="1" applyFont="1" applyBorder="1"/>
    <xf numFmtId="7" fontId="0" fillId="0" borderId="20" xfId="2" applyNumberFormat="1" applyFont="1" applyFill="1" applyBorder="1" applyAlignment="1">
      <alignment horizontal="center"/>
    </xf>
    <xf numFmtId="7" fontId="0" fillId="0" borderId="13" xfId="2" applyNumberFormat="1" applyFont="1" applyFill="1" applyBorder="1" applyAlignment="1">
      <alignment horizontal="center" wrapText="1"/>
    </xf>
    <xf numFmtId="2" fontId="8" fillId="0" borderId="9" xfId="0" applyNumberFormat="1" applyFont="1" applyFill="1" applyBorder="1" applyAlignment="1">
      <alignment horizontal="center" vertical="center" wrapText="1"/>
    </xf>
    <xf numFmtId="44" fontId="8" fillId="0" borderId="14" xfId="2" applyNumberFormat="1" applyFont="1" applyFill="1" applyBorder="1" applyAlignment="1">
      <alignment horizontal="center"/>
    </xf>
    <xf numFmtId="0" fontId="44" fillId="0" borderId="9" xfId="0" applyFont="1" applyFill="1" applyBorder="1" applyAlignment="1">
      <alignment horizontal="center" wrapText="1"/>
    </xf>
    <xf numFmtId="172" fontId="8" fillId="0" borderId="9" xfId="0" applyNumberFormat="1" applyFont="1" applyFill="1" applyBorder="1" applyAlignment="1">
      <alignment horizontal="center" vertical="center" wrapText="1"/>
    </xf>
    <xf numFmtId="165" fontId="8" fillId="0" borderId="14" xfId="1" applyNumberFormat="1" applyFont="1" applyFill="1" applyBorder="1" applyAlignment="1">
      <alignment horizontal="center" vertical="top"/>
    </xf>
    <xf numFmtId="165" fontId="8" fillId="0" borderId="9" xfId="1" applyNumberFormat="1" applyFont="1" applyFill="1" applyBorder="1" applyAlignment="1">
      <alignment horizontal="left"/>
    </xf>
    <xf numFmtId="165" fontId="8" fillId="0" borderId="14" xfId="0" applyNumberFormat="1" applyFont="1" applyFill="1" applyBorder="1" applyAlignment="1">
      <alignment horizontal="center" wrapText="1"/>
    </xf>
    <xf numFmtId="181" fontId="0" fillId="0" borderId="8" xfId="0" applyNumberFormat="1" applyFont="1" applyFill="1" applyBorder="1" applyAlignment="1">
      <alignment horizontal="right"/>
    </xf>
    <xf numFmtId="180" fontId="8" fillId="0" borderId="9" xfId="2" applyNumberFormat="1" applyFont="1" applyFill="1" applyBorder="1"/>
    <xf numFmtId="180" fontId="8" fillId="0" borderId="9" xfId="2" applyNumberFormat="1" applyFont="1" applyBorder="1" applyAlignment="1">
      <alignment horizontal="center"/>
    </xf>
    <xf numFmtId="180" fontId="8" fillId="0" borderId="8" xfId="0" applyNumberFormat="1" applyFont="1" applyBorder="1" applyAlignment="1">
      <alignment horizontal="center"/>
    </xf>
    <xf numFmtId="37" fontId="8" fillId="0" borderId="19" xfId="0" applyNumberFormat="1" applyFont="1" applyFill="1" applyBorder="1" applyAlignment="1">
      <alignment horizontal="center"/>
    </xf>
    <xf numFmtId="2" fontId="0" fillId="0" borderId="9" xfId="0" applyNumberFormat="1" applyFont="1" applyFill="1" applyBorder="1" applyAlignment="1">
      <alignment vertical="center"/>
    </xf>
    <xf numFmtId="2" fontId="0" fillId="0" borderId="9" xfId="0" applyNumberFormat="1" applyFont="1" applyFill="1" applyBorder="1" applyAlignment="1">
      <alignment horizontal="center" wrapText="1"/>
    </xf>
    <xf numFmtId="165" fontId="8" fillId="0" borderId="0" xfId="1" applyNumberFormat="1" applyFont="1" applyFill="1" applyAlignment="1">
      <alignment horizontal="center"/>
    </xf>
    <xf numFmtId="8" fontId="0" fillId="0" borderId="0" xfId="0" applyNumberFormat="1" applyFont="1" applyFill="1"/>
    <xf numFmtId="165" fontId="8" fillId="0" borderId="9" xfId="0" applyNumberFormat="1" applyFont="1" applyFill="1" applyBorder="1" applyAlignment="1">
      <alignment horizontal="right"/>
    </xf>
    <xf numFmtId="37" fontId="8" fillId="0" borderId="9" xfId="0" applyNumberFormat="1" applyFont="1" applyFill="1" applyBorder="1" applyAlignment="1">
      <alignment horizontal="center"/>
    </xf>
    <xf numFmtId="0" fontId="0" fillId="0" borderId="0" xfId="0" applyFont="1" applyFill="1" applyBorder="1" applyAlignment="1">
      <alignment horizontal="left" vertical="top" wrapText="1"/>
    </xf>
    <xf numFmtId="0" fontId="0" fillId="0" borderId="0" xfId="0" applyFont="1" applyFill="1" applyAlignment="1">
      <alignment horizontal="center" wrapText="1"/>
    </xf>
    <xf numFmtId="0" fontId="0" fillId="0" borderId="0" xfId="0" applyFill="1" applyAlignment="1">
      <alignment horizontal="center" wrapText="1"/>
    </xf>
    <xf numFmtId="0" fontId="0" fillId="0" borderId="0" xfId="0" applyFill="1" applyAlignment="1">
      <alignment horizontal="center" vertical="center" wrapText="1"/>
    </xf>
    <xf numFmtId="0" fontId="0" fillId="0" borderId="0" xfId="0" applyFill="1" applyAlignment="1">
      <alignment horizontal="center"/>
    </xf>
    <xf numFmtId="0" fontId="0" fillId="0" borderId="0" xfId="0" applyFill="1" applyAlignment="1">
      <alignment horizontal="left" vertical="center" wrapText="1"/>
    </xf>
    <xf numFmtId="0" fontId="8" fillId="0" borderId="9" xfId="0" applyFont="1" applyFill="1" applyBorder="1" applyAlignment="1">
      <alignment horizontal="left"/>
    </xf>
    <xf numFmtId="0" fontId="0" fillId="0" borderId="13" xfId="0" applyFont="1" applyFill="1" applyBorder="1" applyAlignment="1">
      <alignment horizontal="left" wrapText="1"/>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0" fillId="0" borderId="10" xfId="0" applyFont="1" applyFill="1" applyBorder="1" applyAlignment="1">
      <alignment horizontal="center"/>
    </xf>
    <xf numFmtId="0" fontId="4" fillId="0" borderId="9" xfId="0" applyFont="1" applyFill="1" applyBorder="1" applyAlignment="1">
      <alignment horizontal="center"/>
    </xf>
    <xf numFmtId="0" fontId="0" fillId="0" borderId="9" xfId="0" applyFont="1" applyFill="1" applyBorder="1" applyAlignment="1">
      <alignment horizontal="left" wrapText="1"/>
    </xf>
    <xf numFmtId="0" fontId="4" fillId="0" borderId="9" xfId="0" applyFont="1" applyBorder="1" applyAlignment="1">
      <alignment horizontal="center"/>
    </xf>
    <xf numFmtId="0" fontId="0" fillId="0" borderId="9" xfId="0" applyFont="1" applyFill="1" applyBorder="1" applyAlignment="1">
      <alignment wrapText="1"/>
    </xf>
    <xf numFmtId="0" fontId="8" fillId="0" borderId="0" xfId="0" applyFont="1" applyFill="1" applyBorder="1" applyAlignment="1">
      <alignment horizontal="left" wrapText="1"/>
    </xf>
    <xf numFmtId="0" fontId="4" fillId="0" borderId="13" xfId="0" applyFont="1" applyFill="1" applyBorder="1" applyAlignment="1">
      <alignment horizontal="center" wrapText="1"/>
    </xf>
    <xf numFmtId="0" fontId="8" fillId="0" borderId="0" xfId="0" applyFont="1" applyFill="1" applyBorder="1" applyAlignment="1">
      <alignment horizontal="left" vertical="top" wrapText="1"/>
    </xf>
    <xf numFmtId="0" fontId="0" fillId="0" borderId="0" xfId="0" applyFont="1" applyFill="1" applyAlignment="1">
      <alignment horizontal="left" wrapText="1"/>
    </xf>
    <xf numFmtId="0" fontId="8" fillId="0" borderId="0" xfId="0" applyFont="1" applyFill="1" applyBorder="1" applyAlignment="1">
      <alignment horizontal="left" vertical="center" wrapText="1"/>
    </xf>
    <xf numFmtId="0" fontId="0" fillId="0" borderId="0" xfId="0" applyAlignment="1">
      <alignment wrapText="1"/>
    </xf>
    <xf numFmtId="0" fontId="0" fillId="0" borderId="0" xfId="0" applyFill="1" applyAlignment="1">
      <alignment horizontal="left" wrapText="1"/>
    </xf>
    <xf numFmtId="0" fontId="0" fillId="0" borderId="27" xfId="0" applyFill="1" applyBorder="1"/>
    <xf numFmtId="0" fontId="4" fillId="0" borderId="1" xfId="0" applyFont="1" applyFill="1" applyBorder="1" applyAlignment="1">
      <alignment horizontal="center" wrapText="1"/>
    </xf>
    <xf numFmtId="0" fontId="4" fillId="0" borderId="19" xfId="0" applyFont="1" applyBorder="1" applyAlignment="1">
      <alignment horizontal="center" vertical="center"/>
    </xf>
    <xf numFmtId="0" fontId="0" fillId="0" borderId="19" xfId="0" applyFont="1" applyFill="1" applyBorder="1" applyAlignment="1">
      <alignment horizontal="center" vertical="center"/>
    </xf>
    <xf numFmtId="0" fontId="0" fillId="0" borderId="20" xfId="0" applyFont="1" applyFill="1" applyBorder="1" applyAlignment="1">
      <alignment vertical="center"/>
    </xf>
    <xf numFmtId="0" fontId="8" fillId="0" borderId="19" xfId="0" applyFont="1" applyFill="1" applyBorder="1" applyAlignment="1">
      <alignment horizontal="center" vertical="center" wrapText="1"/>
    </xf>
    <xf numFmtId="3" fontId="0" fillId="0" borderId="20" xfId="0" applyNumberFormat="1" applyFont="1" applyFill="1" applyBorder="1" applyAlignment="1">
      <alignment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vertical="center"/>
    </xf>
    <xf numFmtId="0" fontId="8" fillId="0" borderId="1" xfId="0" applyFont="1" applyBorder="1" applyAlignment="1">
      <alignment vertical="center" wrapText="1"/>
    </xf>
    <xf numFmtId="0" fontId="8" fillId="0" borderId="1" xfId="0" applyFont="1" applyBorder="1" applyAlignment="1">
      <alignment vertical="center"/>
    </xf>
    <xf numFmtId="0" fontId="10" fillId="0" borderId="20" xfId="0" applyFont="1" applyFill="1" applyBorder="1" applyAlignment="1">
      <alignment horizontal="center" vertical="center"/>
    </xf>
    <xf numFmtId="0" fontId="8" fillId="0" borderId="1" xfId="0" applyFont="1" applyFill="1" applyBorder="1" applyAlignment="1">
      <alignment vertical="center" wrapText="1"/>
    </xf>
    <xf numFmtId="165" fontId="8" fillId="0" borderId="1" xfId="1" applyNumberFormat="1" applyFont="1" applyFill="1" applyBorder="1" applyAlignment="1">
      <alignment vertical="center"/>
    </xf>
    <xf numFmtId="169" fontId="8" fillId="0" borderId="9" xfId="0" applyNumberFormat="1" applyFont="1" applyFill="1" applyBorder="1" applyAlignment="1"/>
    <xf numFmtId="0" fontId="0" fillId="0" borderId="0" xfId="0" applyFont="1" applyFill="1" applyBorder="1" applyAlignment="1">
      <alignment vertical="top"/>
    </xf>
    <xf numFmtId="0" fontId="10" fillId="0" borderId="19" xfId="0" applyFont="1" applyFill="1" applyBorder="1" applyAlignment="1">
      <alignment horizontal="center" vertical="center"/>
    </xf>
    <xf numFmtId="3" fontId="8" fillId="0" borderId="20" xfId="0" applyNumberFormat="1" applyFont="1" applyFill="1" applyBorder="1" applyAlignment="1">
      <alignment vertical="center"/>
    </xf>
    <xf numFmtId="0" fontId="10" fillId="0" borderId="19" xfId="0" applyFont="1" applyFill="1" applyBorder="1" applyAlignment="1">
      <alignment horizontal="center" vertical="center" wrapText="1"/>
    </xf>
    <xf numFmtId="0" fontId="21" fillId="3" borderId="16" xfId="0" applyFont="1" applyFill="1" applyBorder="1" applyAlignment="1">
      <alignment vertical="center"/>
    </xf>
    <xf numFmtId="0" fontId="21" fillId="3" borderId="17" xfId="0" applyFont="1" applyFill="1" applyBorder="1" applyAlignment="1">
      <alignment vertical="center"/>
    </xf>
    <xf numFmtId="0" fontId="21" fillId="3" borderId="18" xfId="0" applyFont="1" applyFill="1" applyBorder="1" applyAlignment="1">
      <alignment vertical="center"/>
    </xf>
    <xf numFmtId="44" fontId="0" fillId="0" borderId="0" xfId="2" applyFont="1" applyFill="1" applyAlignment="1">
      <alignment vertical="center"/>
    </xf>
    <xf numFmtId="44" fontId="0" fillId="0" borderId="0" xfId="2" applyFont="1" applyFill="1" applyAlignment="1"/>
    <xf numFmtId="44" fontId="12" fillId="0" borderId="0" xfId="2" applyFont="1" applyFill="1" applyAlignment="1">
      <alignment horizontal="right" vertical="top"/>
    </xf>
    <xf numFmtId="44" fontId="15" fillId="0" borderId="0" xfId="2" applyFont="1" applyFill="1"/>
    <xf numFmtId="44" fontId="15" fillId="0" borderId="0" xfId="2" applyFont="1" applyFill="1" applyAlignment="1"/>
    <xf numFmtId="44" fontId="15" fillId="0" borderId="0" xfId="2" applyFont="1" applyFill="1" applyBorder="1"/>
    <xf numFmtId="44" fontId="0" fillId="0" borderId="0" xfId="2" applyFont="1" applyFill="1" applyAlignment="1">
      <alignment horizontal="left" wrapText="1"/>
    </xf>
    <xf numFmtId="44" fontId="0" fillId="0" borderId="32" xfId="2" applyFont="1" applyFill="1" applyBorder="1" applyAlignment="1">
      <alignment horizontal="center" wrapText="1"/>
    </xf>
    <xf numFmtId="44" fontId="0" fillId="0" borderId="32" xfId="2" applyFont="1" applyFill="1" applyBorder="1" applyAlignment="1">
      <alignment vertical="top" wrapText="1"/>
    </xf>
    <xf numFmtId="44" fontId="0" fillId="0" borderId="32" xfId="2" applyFont="1" applyFill="1" applyBorder="1" applyAlignment="1">
      <alignment horizontal="left" wrapText="1"/>
    </xf>
    <xf numFmtId="44" fontId="0" fillId="0" borderId="32" xfId="2" applyFont="1" applyFill="1" applyBorder="1" applyAlignment="1">
      <alignment horizontal="left" vertical="top" wrapText="1"/>
    </xf>
    <xf numFmtId="44" fontId="8" fillId="0" borderId="32" xfId="2" applyFont="1" applyFill="1" applyBorder="1" applyAlignment="1">
      <alignment horizontal="left" wrapText="1"/>
    </xf>
    <xf numFmtId="44" fontId="15" fillId="0" borderId="0" xfId="2" applyFont="1" applyFill="1" applyAlignment="1">
      <alignment wrapText="1"/>
    </xf>
    <xf numFmtId="44" fontId="2" fillId="0" borderId="0" xfId="2" applyFont="1" applyFill="1" applyBorder="1" applyAlignment="1">
      <alignment horizontal="center" vertical="center"/>
    </xf>
    <xf numFmtId="44" fontId="0" fillId="0" borderId="56" xfId="2" applyFont="1" applyFill="1" applyBorder="1" applyAlignment="1">
      <alignment wrapText="1"/>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0" fillId="0" borderId="10" xfId="0" applyFont="1" applyFill="1" applyBorder="1" applyAlignment="1">
      <alignment horizontal="left" wrapText="1"/>
    </xf>
    <xf numFmtId="0" fontId="0" fillId="0" borderId="14" xfId="0" applyFont="1" applyFill="1" applyBorder="1" applyAlignment="1">
      <alignment horizontal="left" wrapText="1"/>
    </xf>
    <xf numFmtId="0" fontId="0" fillId="0" borderId="13" xfId="0" applyFont="1" applyFill="1" applyBorder="1" applyAlignment="1">
      <alignment horizontal="left" wrapText="1"/>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0" fillId="0" borderId="10" xfId="0" applyFont="1" applyFill="1" applyBorder="1" applyAlignment="1">
      <alignment horizontal="right"/>
    </xf>
    <xf numFmtId="0" fontId="0" fillId="0" borderId="14" xfId="0" applyFont="1" applyFill="1" applyBorder="1" applyAlignment="1">
      <alignment horizontal="right"/>
    </xf>
    <xf numFmtId="0" fontId="0" fillId="0" borderId="13" xfId="0" applyFont="1" applyFill="1" applyBorder="1" applyAlignment="1">
      <alignment horizontal="right"/>
    </xf>
    <xf numFmtId="0" fontId="8" fillId="0" borderId="10" xfId="0" applyFont="1" applyFill="1" applyBorder="1" applyAlignment="1">
      <alignment horizontal="right" wrapText="1"/>
    </xf>
    <xf numFmtId="0" fontId="8" fillId="0" borderId="14" xfId="0" applyFont="1" applyFill="1" applyBorder="1" applyAlignment="1">
      <alignment horizontal="right" wrapText="1"/>
    </xf>
    <xf numFmtId="0" fontId="8" fillId="0" borderId="13" xfId="0" applyFont="1" applyFill="1" applyBorder="1" applyAlignment="1">
      <alignment horizontal="right" wrapText="1"/>
    </xf>
    <xf numFmtId="0" fontId="8" fillId="0" borderId="1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0" fillId="0" borderId="10" xfId="0" applyFont="1" applyFill="1" applyBorder="1" applyAlignment="1">
      <alignment horizontal="left"/>
    </xf>
    <xf numFmtId="0" fontId="0" fillId="0" borderId="14" xfId="0" applyFont="1" applyFill="1" applyBorder="1" applyAlignment="1">
      <alignment horizontal="left"/>
    </xf>
    <xf numFmtId="0" fontId="0" fillId="0" borderId="13" xfId="0" applyFont="1" applyFill="1" applyBorder="1" applyAlignment="1">
      <alignment horizontal="left"/>
    </xf>
    <xf numFmtId="0" fontId="0" fillId="0" borderId="10" xfId="0" applyFont="1" applyBorder="1" applyAlignment="1">
      <alignment horizontal="left"/>
    </xf>
    <xf numFmtId="0" fontId="0" fillId="0" borderId="14" xfId="0" applyFont="1" applyBorder="1" applyAlignment="1">
      <alignment horizontal="left"/>
    </xf>
    <xf numFmtId="0" fontId="0" fillId="0" borderId="13" xfId="0" applyFont="1" applyBorder="1" applyAlignment="1">
      <alignment horizontal="left"/>
    </xf>
    <xf numFmtId="0" fontId="8" fillId="0" borderId="10" xfId="0" applyFont="1" applyBorder="1" applyAlignment="1">
      <alignment horizontal="left" wrapText="1"/>
    </xf>
    <xf numFmtId="0" fontId="8" fillId="0" borderId="14" xfId="0" applyFont="1" applyBorder="1" applyAlignment="1">
      <alignment horizontal="left" wrapText="1"/>
    </xf>
    <xf numFmtId="0" fontId="8" fillId="0" borderId="13" xfId="0" applyFont="1" applyBorder="1" applyAlignment="1">
      <alignment horizontal="left" wrapText="1"/>
    </xf>
    <xf numFmtId="0" fontId="0" fillId="0" borderId="9" xfId="0" applyFont="1" applyFill="1" applyBorder="1" applyAlignment="1">
      <alignment horizontal="left" vertical="top" wrapText="1"/>
    </xf>
    <xf numFmtId="166" fontId="8" fillId="0" borderId="10" xfId="0" applyNumberFormat="1" applyFont="1" applyFill="1" applyBorder="1" applyAlignment="1">
      <alignment horizontal="center" vertical="center" wrapText="1"/>
    </xf>
    <xf numFmtId="166" fontId="8" fillId="0" borderId="13" xfId="0" applyNumberFormat="1" applyFont="1" applyFill="1" applyBorder="1" applyAlignment="1">
      <alignment horizontal="center" vertical="center" wrapText="1"/>
    </xf>
    <xf numFmtId="0" fontId="45" fillId="0" borderId="10" xfId="0" applyFont="1" applyBorder="1" applyAlignment="1">
      <alignment horizontal="left" vertical="center"/>
    </xf>
    <xf numFmtId="0" fontId="8" fillId="0" borderId="14" xfId="0" applyFont="1" applyBorder="1" applyAlignment="1">
      <alignment horizontal="left" vertical="center"/>
    </xf>
    <xf numFmtId="0" fontId="8" fillId="0" borderId="13" xfId="0" applyFont="1" applyBorder="1" applyAlignment="1">
      <alignment horizontal="left" vertical="center"/>
    </xf>
    <xf numFmtId="0" fontId="10" fillId="0" borderId="10" xfId="0" applyFont="1" applyFill="1" applyBorder="1" applyAlignment="1">
      <alignment vertical="center"/>
    </xf>
    <xf numFmtId="0" fontId="10" fillId="0" borderId="13" xfId="0" applyFont="1" applyFill="1" applyBorder="1" applyAlignment="1">
      <alignment vertical="center"/>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0" fontId="10" fillId="0" borderId="19" xfId="0" applyFont="1" applyFill="1" applyBorder="1" applyAlignment="1">
      <alignment horizontal="center"/>
    </xf>
    <xf numFmtId="0" fontId="10" fillId="0" borderId="20" xfId="0" applyFont="1" applyFill="1" applyBorder="1" applyAlignment="1">
      <alignment horizontal="center"/>
    </xf>
    <xf numFmtId="0" fontId="4" fillId="0" borderId="10" xfId="0" applyFont="1" applyFill="1" applyBorder="1" applyAlignment="1">
      <alignment horizontal="center"/>
    </xf>
    <xf numFmtId="0" fontId="4" fillId="0" borderId="13" xfId="0" applyFont="1" applyFill="1" applyBorder="1" applyAlignment="1">
      <alignment horizontal="center"/>
    </xf>
    <xf numFmtId="0" fontId="8" fillId="0" borderId="9" xfId="0" applyFont="1" applyFill="1" applyBorder="1" applyAlignment="1">
      <alignment horizontal="right" wrapText="1"/>
    </xf>
    <xf numFmtId="0" fontId="0" fillId="0" borderId="9" xfId="0" applyFont="1" applyFill="1" applyBorder="1" applyAlignment="1">
      <alignment horizontal="right"/>
    </xf>
    <xf numFmtId="0" fontId="19" fillId="0" borderId="31" xfId="0" applyFont="1" applyFill="1" applyBorder="1" applyAlignment="1">
      <alignment horizontal="left" vertical="top" wrapText="1"/>
    </xf>
    <xf numFmtId="0" fontId="19" fillId="0" borderId="21" xfId="0" applyFont="1" applyFill="1" applyBorder="1" applyAlignment="1">
      <alignment horizontal="left" vertical="top" wrapText="1"/>
    </xf>
    <xf numFmtId="0" fontId="19" fillId="0" borderId="10" xfId="0" applyFont="1" applyFill="1" applyBorder="1" applyAlignment="1">
      <alignment horizontal="left" wrapText="1"/>
    </xf>
    <xf numFmtId="0" fontId="19" fillId="0" borderId="14" xfId="0" applyFont="1" applyFill="1" applyBorder="1" applyAlignment="1">
      <alignment horizontal="left" wrapText="1"/>
    </xf>
    <xf numFmtId="0" fontId="19" fillId="0" borderId="13" xfId="0" applyFont="1" applyFill="1" applyBorder="1" applyAlignment="1">
      <alignment horizontal="left" wrapText="1"/>
    </xf>
    <xf numFmtId="0" fontId="10" fillId="0" borderId="10" xfId="0" applyFont="1" applyBorder="1" applyAlignment="1">
      <alignment vertical="center" wrapText="1"/>
    </xf>
    <xf numFmtId="0" fontId="10" fillId="0" borderId="13" xfId="0" applyFont="1" applyBorder="1" applyAlignment="1">
      <alignment vertical="center" wrapText="1"/>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0" fillId="0" borderId="9" xfId="0" applyFont="1" applyFill="1" applyBorder="1" applyAlignment="1">
      <alignment horizontal="left" vertical="center"/>
    </xf>
    <xf numFmtId="0" fontId="8" fillId="0" borderId="9" xfId="0" applyFont="1" applyFill="1" applyBorder="1" applyAlignment="1">
      <alignment horizontal="left" wrapText="1"/>
    </xf>
    <xf numFmtId="165" fontId="8" fillId="0" borderId="10" xfId="0" applyNumberFormat="1" applyFont="1" applyFill="1" applyBorder="1" applyAlignment="1">
      <alignment horizontal="center"/>
    </xf>
    <xf numFmtId="165" fontId="8" fillId="0" borderId="14" xfId="0" applyNumberFormat="1" applyFont="1" applyFill="1" applyBorder="1" applyAlignment="1">
      <alignment horizontal="center"/>
    </xf>
    <xf numFmtId="165" fontId="8" fillId="0" borderId="13" xfId="0" applyNumberFormat="1" applyFont="1" applyFill="1" applyBorder="1" applyAlignment="1">
      <alignment horizontal="center"/>
    </xf>
    <xf numFmtId="0" fontId="10" fillId="0" borderId="10" xfId="0" applyFont="1" applyFill="1" applyBorder="1" applyAlignment="1">
      <alignment vertical="center" wrapText="1"/>
    </xf>
    <xf numFmtId="0" fontId="10" fillId="0" borderId="13" xfId="0" applyFont="1" applyFill="1" applyBorder="1" applyAlignment="1">
      <alignment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10" fillId="0" borderId="9" xfId="0" applyFont="1" applyFill="1" applyBorder="1" applyAlignment="1">
      <alignment horizontal="left" wrapText="1"/>
    </xf>
    <xf numFmtId="0" fontId="10" fillId="0" borderId="10" xfId="0" applyFont="1" applyFill="1" applyBorder="1" applyAlignment="1">
      <alignment horizontal="center" wrapText="1"/>
    </xf>
    <xf numFmtId="0" fontId="10" fillId="0" borderId="13" xfId="0" applyFont="1" applyFill="1" applyBorder="1" applyAlignment="1">
      <alignment horizontal="center" wrapText="1"/>
    </xf>
    <xf numFmtId="0" fontId="0" fillId="0" borderId="10" xfId="0" applyNumberFormat="1" applyFont="1" applyFill="1" applyBorder="1" applyAlignment="1">
      <alignment horizontal="center" vertical="center"/>
    </xf>
    <xf numFmtId="0" fontId="0" fillId="0" borderId="13" xfId="0" applyNumberFormat="1" applyFont="1" applyFill="1" applyBorder="1" applyAlignment="1">
      <alignment horizontal="center" vertical="center"/>
    </xf>
    <xf numFmtId="2" fontId="0" fillId="0" borderId="10" xfId="0" applyNumberFormat="1" applyFont="1" applyFill="1" applyBorder="1" applyAlignment="1">
      <alignment horizontal="center" vertical="center" wrapText="1"/>
    </xf>
    <xf numFmtId="2" fontId="0" fillId="0" borderId="13" xfId="0" applyNumberFormat="1" applyFont="1" applyFill="1" applyBorder="1" applyAlignment="1">
      <alignment horizontal="center" vertical="center" wrapText="1"/>
    </xf>
    <xf numFmtId="0" fontId="4" fillId="0" borderId="10" xfId="0" applyFont="1" applyBorder="1" applyAlignment="1">
      <alignment vertical="center" wrapText="1"/>
    </xf>
    <xf numFmtId="0" fontId="4" fillId="0" borderId="13" xfId="0" applyFont="1" applyBorder="1" applyAlignment="1">
      <alignment vertical="center" wrapText="1"/>
    </xf>
    <xf numFmtId="0" fontId="10" fillId="0" borderId="14" xfId="0" applyFont="1" applyBorder="1" applyAlignment="1">
      <alignment horizontal="center" vertical="center" wrapText="1"/>
    </xf>
    <xf numFmtId="0" fontId="10" fillId="0" borderId="13" xfId="0" applyFont="1" applyBorder="1" applyAlignment="1">
      <alignment horizontal="center" vertical="center" wrapText="1"/>
    </xf>
    <xf numFmtId="0" fontId="4" fillId="0" borderId="10" xfId="0" applyFont="1" applyFill="1" applyBorder="1" applyAlignment="1">
      <alignment horizontal="left" wrapText="1"/>
    </xf>
    <xf numFmtId="0" fontId="4" fillId="0" borderId="14" xfId="0" applyFont="1" applyFill="1" applyBorder="1" applyAlignment="1">
      <alignment horizontal="left" wrapText="1"/>
    </xf>
    <xf numFmtId="0" fontId="4" fillId="0" borderId="13" xfId="0" applyFont="1" applyFill="1" applyBorder="1" applyAlignment="1">
      <alignment horizontal="left" wrapText="1"/>
    </xf>
    <xf numFmtId="0" fontId="4" fillId="0" borderId="10" xfId="0" applyFont="1" applyFill="1" applyBorder="1" applyAlignment="1">
      <alignment horizontal="center" wrapText="1"/>
    </xf>
    <xf numFmtId="0" fontId="4" fillId="0" borderId="13" xfId="0" applyFont="1" applyFill="1" applyBorder="1" applyAlignment="1">
      <alignment horizontal="center" wrapText="1"/>
    </xf>
    <xf numFmtId="0" fontId="13" fillId="0" borderId="9" xfId="0" applyFont="1" applyBorder="1" applyAlignment="1">
      <alignment vertical="center" wrapText="1"/>
    </xf>
    <xf numFmtId="0" fontId="0" fillId="0" borderId="9" xfId="0" applyFont="1" applyBorder="1" applyAlignment="1"/>
    <xf numFmtId="0" fontId="13" fillId="0" borderId="9" xfId="0" applyFont="1" applyFill="1" applyBorder="1" applyAlignment="1">
      <alignment horizontal="left" vertical="top" wrapText="1"/>
    </xf>
    <xf numFmtId="0" fontId="0" fillId="0" borderId="9" xfId="0" applyFont="1" applyFill="1" applyBorder="1" applyAlignment="1">
      <alignment horizontal="left" vertical="top"/>
    </xf>
    <xf numFmtId="0" fontId="14" fillId="0" borderId="9" xfId="0" applyFont="1" applyFill="1" applyBorder="1" applyAlignment="1">
      <alignment horizontal="left" vertical="top" wrapText="1"/>
    </xf>
    <xf numFmtId="0" fontId="8" fillId="0" borderId="9" xfId="0" applyFont="1" applyFill="1" applyBorder="1" applyAlignment="1">
      <alignment horizontal="left" vertical="top"/>
    </xf>
    <xf numFmtId="0" fontId="13" fillId="0" borderId="9" xfId="0" applyFont="1" applyFill="1" applyBorder="1" applyAlignment="1">
      <alignment vertical="center" wrapText="1"/>
    </xf>
    <xf numFmtId="0" fontId="8" fillId="0" borderId="10" xfId="0" quotePrefix="1" applyFont="1" applyFill="1" applyBorder="1" applyAlignment="1">
      <alignment horizontal="left" vertical="top" wrapText="1"/>
    </xf>
    <xf numFmtId="0" fontId="8" fillId="0" borderId="14" xfId="0" applyFont="1" applyFill="1" applyBorder="1" applyAlignment="1">
      <alignment horizontal="left" vertical="top"/>
    </xf>
    <xf numFmtId="0" fontId="8" fillId="0" borderId="13" xfId="0" applyFont="1" applyFill="1" applyBorder="1" applyAlignment="1">
      <alignment horizontal="left" vertical="top"/>
    </xf>
    <xf numFmtId="0" fontId="0" fillId="0" borderId="10" xfId="0" applyFont="1" applyFill="1" applyBorder="1" applyAlignment="1">
      <alignment horizontal="left" vertical="top"/>
    </xf>
    <xf numFmtId="0" fontId="0" fillId="0" borderId="14" xfId="0" applyFont="1" applyFill="1" applyBorder="1" applyAlignment="1">
      <alignment horizontal="left" vertical="top"/>
    </xf>
    <xf numFmtId="0" fontId="0" fillId="0" borderId="13" xfId="0" applyFont="1" applyFill="1" applyBorder="1" applyAlignment="1">
      <alignment horizontal="left" vertical="top"/>
    </xf>
    <xf numFmtId="0" fontId="0" fillId="0" borderId="31" xfId="0" applyFont="1" applyBorder="1" applyAlignment="1">
      <alignment horizontal="left" vertical="top" wrapText="1"/>
    </xf>
    <xf numFmtId="0" fontId="0" fillId="0" borderId="21" xfId="0" applyFont="1" applyBorder="1" applyAlignment="1">
      <alignment horizontal="left" vertical="top" wrapText="1"/>
    </xf>
    <xf numFmtId="0" fontId="0" fillId="0" borderId="22" xfId="0" applyFont="1" applyBorder="1" applyAlignment="1">
      <alignment horizontal="left" vertical="top" wrapText="1"/>
    </xf>
    <xf numFmtId="0" fontId="13" fillId="0" borderId="9" xfId="0" applyFont="1" applyBorder="1" applyAlignment="1">
      <alignment vertical="center"/>
    </xf>
    <xf numFmtId="0" fontId="13" fillId="0" borderId="9" xfId="0" applyFont="1" applyBorder="1" applyAlignment="1">
      <alignment horizontal="left" vertical="top" wrapText="1"/>
    </xf>
    <xf numFmtId="0" fontId="0" fillId="0" borderId="9" xfId="0" applyFont="1" applyBorder="1" applyAlignment="1">
      <alignment horizontal="left" vertical="top"/>
    </xf>
    <xf numFmtId="0" fontId="8" fillId="0" borderId="9" xfId="0" applyFont="1" applyFill="1" applyBorder="1" applyAlignment="1">
      <alignment horizontal="left"/>
    </xf>
    <xf numFmtId="0" fontId="8" fillId="0" borderId="10" xfId="0" applyFont="1" applyFill="1" applyBorder="1" applyAlignment="1">
      <alignment horizontal="center"/>
    </xf>
    <xf numFmtId="0" fontId="8" fillId="0" borderId="13" xfId="0" applyFont="1" applyFill="1" applyBorder="1" applyAlignment="1">
      <alignment horizontal="center"/>
    </xf>
    <xf numFmtId="0" fontId="8" fillId="0" borderId="10" xfId="0" applyFont="1" applyFill="1" applyBorder="1" applyAlignment="1">
      <alignment horizontal="left" vertical="top" wrapText="1"/>
    </xf>
    <xf numFmtId="0" fontId="0" fillId="0" borderId="31" xfId="0" applyFont="1" applyBorder="1" applyAlignment="1">
      <alignment horizontal="left" wrapText="1"/>
    </xf>
    <xf numFmtId="0" fontId="0" fillId="0" borderId="21" xfId="0" applyFont="1" applyBorder="1" applyAlignment="1">
      <alignment horizontal="left" wrapText="1"/>
    </xf>
    <xf numFmtId="0" fontId="0" fillId="0" borderId="22" xfId="0" applyFont="1" applyBorder="1" applyAlignment="1">
      <alignment horizontal="left" wrapText="1"/>
    </xf>
    <xf numFmtId="0" fontId="0" fillId="0" borderId="9" xfId="0" applyFont="1" applyBorder="1" applyAlignment="1">
      <alignment wrapText="1"/>
    </xf>
    <xf numFmtId="0" fontId="0" fillId="0" borderId="9" xfId="0" applyFont="1" applyFill="1" applyBorder="1" applyAlignment="1"/>
    <xf numFmtId="0" fontId="13" fillId="0" borderId="10" xfId="0" applyFont="1" applyBorder="1" applyAlignment="1">
      <alignment vertical="center" wrapText="1"/>
    </xf>
    <xf numFmtId="0" fontId="0" fillId="0" borderId="14" xfId="0" applyFont="1" applyBorder="1" applyAlignment="1"/>
    <xf numFmtId="0" fontId="0" fillId="0" borderId="13" xfId="0" applyFont="1" applyBorder="1" applyAlignment="1"/>
    <xf numFmtId="0" fontId="0" fillId="0" borderId="10" xfId="0" applyFont="1" applyFill="1" applyBorder="1" applyAlignment="1">
      <alignment horizontal="left" vertical="center"/>
    </xf>
    <xf numFmtId="0" fontId="0" fillId="0" borderId="14" xfId="0" applyFont="1" applyFill="1" applyBorder="1" applyAlignment="1">
      <alignment horizontal="left" vertical="center"/>
    </xf>
    <xf numFmtId="0" fontId="0" fillId="0" borderId="13" xfId="0" applyFont="1" applyFill="1" applyBorder="1" applyAlignment="1">
      <alignment horizontal="left" vertical="center"/>
    </xf>
    <xf numFmtId="0" fontId="0" fillId="0" borderId="10" xfId="0" applyFont="1" applyFill="1" applyBorder="1" applyAlignment="1">
      <alignment wrapText="1"/>
    </xf>
    <xf numFmtId="0" fontId="0" fillId="0" borderId="14" xfId="0" applyFont="1" applyFill="1" applyBorder="1" applyAlignment="1">
      <alignment wrapText="1"/>
    </xf>
    <xf numFmtId="0" fontId="0" fillId="0" borderId="13" xfId="0" applyFont="1" applyFill="1" applyBorder="1" applyAlignment="1">
      <alignment wrapText="1"/>
    </xf>
    <xf numFmtId="0" fontId="0" fillId="0" borderId="10" xfId="0" applyFont="1" applyFill="1" applyBorder="1" applyAlignment="1"/>
    <xf numFmtId="0" fontId="0" fillId="0" borderId="14" xfId="0" applyFont="1" applyFill="1" applyBorder="1" applyAlignment="1"/>
    <xf numFmtId="0" fontId="0" fillId="0" borderId="13" xfId="0" applyFont="1" applyFill="1" applyBorder="1" applyAlignment="1"/>
    <xf numFmtId="0" fontId="0" fillId="0" borderId="10" xfId="0" applyFont="1" applyFill="1" applyBorder="1" applyAlignment="1">
      <alignment horizontal="center"/>
    </xf>
    <xf numFmtId="0" fontId="0" fillId="0" borderId="13" xfId="0" applyFont="1" applyFill="1" applyBorder="1" applyAlignment="1">
      <alignment horizontal="center"/>
    </xf>
    <xf numFmtId="0" fontId="4" fillId="0" borderId="10"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center"/>
    </xf>
    <xf numFmtId="0" fontId="27" fillId="0" borderId="10" xfId="0" applyFont="1" applyFill="1" applyBorder="1" applyAlignment="1">
      <alignment horizontal="left" wrapText="1"/>
    </xf>
    <xf numFmtId="0" fontId="0" fillId="0" borderId="10"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0" borderId="9" xfId="0" applyFont="1" applyFill="1" applyBorder="1" applyAlignment="1">
      <alignment wrapText="1"/>
    </xf>
    <xf numFmtId="0" fontId="0" fillId="0" borderId="9" xfId="0" applyFont="1" applyBorder="1" applyAlignment="1">
      <alignment horizontal="left" vertical="center"/>
    </xf>
    <xf numFmtId="0" fontId="10" fillId="0" borderId="9" xfId="0" applyFont="1" applyBorder="1" applyAlignment="1">
      <alignment horizontal="left" wrapText="1"/>
    </xf>
    <xf numFmtId="0" fontId="10" fillId="0" borderId="10" xfId="0" applyFont="1" applyBorder="1" applyAlignment="1">
      <alignment horizontal="left"/>
    </xf>
    <xf numFmtId="0" fontId="10" fillId="0" borderId="14" xfId="0" applyFont="1" applyBorder="1" applyAlignment="1">
      <alignment horizontal="left"/>
    </xf>
    <xf numFmtId="0" fontId="10" fillId="0" borderId="13" xfId="0" applyFont="1" applyBorder="1" applyAlignment="1">
      <alignment horizontal="left"/>
    </xf>
    <xf numFmtId="0" fontId="10" fillId="0" borderId="10" xfId="0" applyFont="1" applyFill="1" applyBorder="1" applyAlignment="1">
      <alignment horizontal="center"/>
    </xf>
    <xf numFmtId="0" fontId="10" fillId="0" borderId="13" xfId="0" applyFont="1" applyFill="1" applyBorder="1" applyAlignment="1">
      <alignment horizontal="center"/>
    </xf>
    <xf numFmtId="0" fontId="8" fillId="0" borderId="9" xfId="0" applyFont="1" applyBorder="1" applyAlignment="1">
      <alignment horizontal="left" vertical="center"/>
    </xf>
    <xf numFmtId="0" fontId="8" fillId="0" borderId="9" xfId="0" applyFont="1" applyBorder="1" applyAlignment="1">
      <alignment horizontal="left" vertical="center" wrapText="1"/>
    </xf>
    <xf numFmtId="0" fontId="8" fillId="0" borderId="9" xfId="0" applyFont="1" applyBorder="1" applyAlignment="1">
      <alignment horizontal="left" wrapText="1"/>
    </xf>
    <xf numFmtId="0" fontId="10" fillId="0" borderId="10" xfId="0" applyFont="1" applyBorder="1" applyAlignment="1">
      <alignment horizontal="left" vertical="center"/>
    </xf>
    <xf numFmtId="0" fontId="10" fillId="0" borderId="13" xfId="0" applyFont="1" applyBorder="1" applyAlignment="1">
      <alignment horizontal="left" vertical="center"/>
    </xf>
    <xf numFmtId="0" fontId="10" fillId="0" borderId="2"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4" fillId="0" borderId="10" xfId="0" applyFont="1" applyBorder="1" applyAlignment="1">
      <alignment horizontal="center"/>
    </xf>
    <xf numFmtId="0" fontId="4" fillId="0" borderId="13" xfId="0" applyFont="1" applyBorder="1" applyAlignment="1">
      <alignment horizontal="center"/>
    </xf>
    <xf numFmtId="0" fontId="17" fillId="0" borderId="10" xfId="0" applyFont="1" applyFill="1" applyBorder="1" applyAlignment="1">
      <alignment horizontal="left" vertical="top" wrapText="1"/>
    </xf>
    <xf numFmtId="0" fontId="0" fillId="0" borderId="14" xfId="0" applyFont="1" applyFill="1" applyBorder="1" applyAlignment="1">
      <alignment horizontal="left" vertical="top" wrapText="1"/>
    </xf>
    <xf numFmtId="0" fontId="0" fillId="0" borderId="13" xfId="0" applyFont="1" applyFill="1" applyBorder="1" applyAlignment="1">
      <alignment horizontal="left" vertical="top" wrapText="1"/>
    </xf>
    <xf numFmtId="0" fontId="17" fillId="2" borderId="10" xfId="0" applyFont="1" applyFill="1" applyBorder="1" applyAlignment="1">
      <alignment horizontal="center" vertical="top" wrapText="1"/>
    </xf>
    <xf numFmtId="0" fontId="17" fillId="2" borderId="14" xfId="0" applyFont="1" applyFill="1" applyBorder="1" applyAlignment="1">
      <alignment horizontal="center" vertical="top" wrapText="1"/>
    </xf>
    <xf numFmtId="0" fontId="17" fillId="2" borderId="13" xfId="0" applyFont="1" applyFill="1" applyBorder="1" applyAlignment="1">
      <alignment horizontal="center" vertical="top" wrapText="1"/>
    </xf>
    <xf numFmtId="0" fontId="10" fillId="0" borderId="10" xfId="0" applyFont="1" applyBorder="1" applyAlignment="1">
      <alignment horizontal="left" vertical="center" wrapText="1"/>
    </xf>
    <xf numFmtId="0" fontId="10" fillId="0" borderId="13" xfId="0" applyFont="1" applyBorder="1" applyAlignment="1">
      <alignment horizontal="left" vertical="center" wrapText="1"/>
    </xf>
    <xf numFmtId="0" fontId="8" fillId="0" borderId="14" xfId="0" applyFont="1" applyBorder="1" applyAlignment="1">
      <alignment horizontal="left" vertical="top"/>
    </xf>
    <xf numFmtId="0" fontId="8" fillId="0" borderId="13" xfId="0" applyFont="1" applyBorder="1" applyAlignment="1">
      <alignment horizontal="left" vertical="top"/>
    </xf>
    <xf numFmtId="0" fontId="4" fillId="0" borderId="10" xfId="0" applyFont="1" applyFill="1" applyBorder="1" applyAlignment="1">
      <alignment horizontal="left"/>
    </xf>
    <xf numFmtId="0" fontId="4" fillId="0" borderId="14" xfId="0" applyFont="1" applyFill="1" applyBorder="1" applyAlignment="1">
      <alignment horizontal="left"/>
    </xf>
    <xf numFmtId="0" fontId="4" fillId="0" borderId="13" xfId="0" applyFont="1" applyFill="1" applyBorder="1" applyAlignment="1">
      <alignment horizontal="left"/>
    </xf>
    <xf numFmtId="0" fontId="4" fillId="0" borderId="19" xfId="0" applyFont="1" applyFill="1" applyBorder="1" applyAlignment="1">
      <alignment horizontal="center"/>
    </xf>
    <xf numFmtId="0" fontId="4" fillId="0" borderId="20" xfId="0" applyFont="1" applyFill="1" applyBorder="1" applyAlignment="1">
      <alignment horizontal="center"/>
    </xf>
    <xf numFmtId="0" fontId="0" fillId="0" borderId="9" xfId="0" applyFont="1" applyFill="1" applyBorder="1" applyAlignment="1">
      <alignment horizontal="left"/>
    </xf>
    <xf numFmtId="0" fontId="8" fillId="0" borderId="9" xfId="0" quotePrefix="1" applyFont="1" applyFill="1" applyBorder="1" applyAlignment="1">
      <alignment horizontal="left" vertical="top" wrapText="1"/>
    </xf>
    <xf numFmtId="0" fontId="8" fillId="0" borderId="10" xfId="0" applyFont="1" applyFill="1" applyBorder="1" applyAlignment="1">
      <alignment horizontal="left" vertical="top"/>
    </xf>
    <xf numFmtId="0" fontId="8" fillId="0" borderId="9" xfId="0" applyFont="1" applyFill="1" applyBorder="1" applyAlignment="1">
      <alignment horizontal="left" vertical="top" wrapText="1"/>
    </xf>
    <xf numFmtId="0" fontId="8" fillId="0" borderId="9" xfId="0" applyFont="1" applyBorder="1" applyAlignment="1">
      <alignment horizontal="left" vertical="top" wrapText="1"/>
    </xf>
    <xf numFmtId="0" fontId="0" fillId="0" borderId="10" xfId="0" applyFont="1" applyBorder="1" applyAlignment="1">
      <alignment wrapText="1"/>
    </xf>
    <xf numFmtId="0" fontId="0" fillId="0" borderId="9" xfId="0" applyFont="1" applyBorder="1" applyAlignment="1">
      <alignment horizontal="left" vertical="top" wrapText="1"/>
    </xf>
    <xf numFmtId="0" fontId="0" fillId="0" borderId="10" xfId="0" applyFont="1" applyFill="1" applyBorder="1" applyAlignment="1">
      <alignment horizontal="left" vertical="top" wrapText="1"/>
    </xf>
    <xf numFmtId="0" fontId="0" fillId="0" borderId="10" xfId="0" applyFont="1" applyBorder="1" applyAlignment="1">
      <alignment horizontal="left" vertical="top" wrapText="1"/>
    </xf>
    <xf numFmtId="0" fontId="0" fillId="0" borderId="14" xfId="0" applyFont="1" applyBorder="1" applyAlignment="1">
      <alignment horizontal="left" vertical="top" wrapText="1"/>
    </xf>
    <xf numFmtId="0" fontId="0" fillId="0" borderId="13" xfId="0" applyFont="1" applyBorder="1" applyAlignment="1">
      <alignment horizontal="left" vertical="top" wrapText="1"/>
    </xf>
    <xf numFmtId="0" fontId="0" fillId="0" borderId="9" xfId="0" applyFont="1" applyBorder="1" applyAlignment="1">
      <alignment horizontal="left" wrapText="1"/>
    </xf>
    <xf numFmtId="0" fontId="8" fillId="0" borderId="9" xfId="0" quotePrefix="1" applyFont="1" applyBorder="1" applyAlignment="1">
      <alignment horizontal="left" vertical="top" wrapText="1"/>
    </xf>
    <xf numFmtId="0" fontId="8" fillId="0" borderId="9" xfId="0" applyFont="1" applyBorder="1" applyAlignment="1">
      <alignment horizontal="left" vertical="top"/>
    </xf>
    <xf numFmtId="0" fontId="0" fillId="0" borderId="10" xfId="0" applyFont="1" applyBorder="1" applyAlignment="1">
      <alignment vertical="top" wrapText="1"/>
    </xf>
    <xf numFmtId="0" fontId="0" fillId="0" borderId="14" xfId="0" applyFont="1" applyBorder="1" applyAlignment="1">
      <alignment vertical="top" wrapText="1"/>
    </xf>
    <xf numFmtId="0" fontId="0" fillId="0" borderId="13" xfId="0" applyFont="1" applyBorder="1" applyAlignment="1">
      <alignment vertical="top" wrapText="1"/>
    </xf>
    <xf numFmtId="0" fontId="0" fillId="0" borderId="14" xfId="0" applyFont="1" applyBorder="1" applyAlignment="1">
      <alignment horizontal="left" vertical="top"/>
    </xf>
    <xf numFmtId="0" fontId="0" fillId="0" borderId="13" xfId="0" applyFont="1" applyBorder="1" applyAlignment="1">
      <alignment horizontal="left" vertical="top"/>
    </xf>
    <xf numFmtId="0" fontId="8" fillId="0" borderId="9" xfId="0" applyFont="1" applyFill="1" applyBorder="1" applyAlignment="1">
      <alignment wrapText="1"/>
    </xf>
    <xf numFmtId="166" fontId="8" fillId="0" borderId="10" xfId="0" applyNumberFormat="1" applyFont="1" applyFill="1" applyBorder="1" applyAlignment="1">
      <alignment horizontal="center" wrapText="1"/>
    </xf>
    <xf numFmtId="166" fontId="8" fillId="0" borderId="13" xfId="0" applyNumberFormat="1" applyFont="1" applyFill="1" applyBorder="1" applyAlignment="1">
      <alignment horizontal="center" wrapText="1"/>
    </xf>
    <xf numFmtId="0" fontId="19" fillId="0" borderId="9" xfId="0" applyFont="1" applyFill="1" applyBorder="1" applyAlignment="1">
      <alignment horizontal="left" wrapText="1"/>
    </xf>
    <xf numFmtId="166" fontId="8" fillId="0" borderId="10" xfId="0" applyNumberFormat="1" applyFont="1" applyBorder="1" applyAlignment="1">
      <alignment horizontal="center"/>
    </xf>
    <xf numFmtId="166" fontId="8" fillId="0" borderId="13" xfId="0" applyNumberFormat="1" applyFont="1" applyBorder="1" applyAlignment="1">
      <alignment horizontal="center"/>
    </xf>
    <xf numFmtId="44" fontId="8" fillId="0" borderId="10" xfId="2" applyFont="1" applyBorder="1" applyAlignment="1">
      <alignment horizontal="center" vertical="center" wrapText="1"/>
    </xf>
    <xf numFmtId="44" fontId="8" fillId="0" borderId="14" xfId="2" applyFont="1" applyBorder="1" applyAlignment="1">
      <alignment horizontal="center" vertical="center" wrapText="1"/>
    </xf>
    <xf numFmtId="0" fontId="10" fillId="0" borderId="19" xfId="0" applyFont="1" applyBorder="1" applyAlignment="1">
      <alignment horizontal="center"/>
    </xf>
    <xf numFmtId="0" fontId="10" fillId="0" borderId="20" xfId="0" applyFont="1" applyBorder="1" applyAlignment="1">
      <alignment horizontal="center"/>
    </xf>
    <xf numFmtId="0" fontId="10" fillId="0" borderId="10" xfId="0" applyFont="1" applyBorder="1" applyAlignment="1">
      <alignment horizontal="center" wrapText="1"/>
    </xf>
    <xf numFmtId="0" fontId="10" fillId="0" borderId="13" xfId="0" applyFont="1" applyBorder="1" applyAlignment="1">
      <alignment horizontal="center" wrapText="1"/>
    </xf>
    <xf numFmtId="166" fontId="8" fillId="0" borderId="10" xfId="0" applyNumberFormat="1" applyFont="1" applyBorder="1" applyAlignment="1">
      <alignment horizontal="center" wrapText="1"/>
    </xf>
    <xf numFmtId="166" fontId="8" fillId="0" borderId="13" xfId="0" applyNumberFormat="1" applyFont="1" applyBorder="1" applyAlignment="1">
      <alignment horizontal="center" wrapText="1"/>
    </xf>
    <xf numFmtId="0" fontId="8" fillId="0" borderId="1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10" fillId="0" borderId="31" xfId="0" applyFont="1" applyFill="1" applyBorder="1" applyAlignment="1">
      <alignment horizontal="center" wrapText="1"/>
    </xf>
    <xf numFmtId="0" fontId="10" fillId="0" borderId="22" xfId="0" applyFont="1" applyFill="1" applyBorder="1" applyAlignment="1">
      <alignment horizontal="center" wrapText="1"/>
    </xf>
    <xf numFmtId="0" fontId="8" fillId="0" borderId="1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right" wrapText="1"/>
    </xf>
    <xf numFmtId="0" fontId="0" fillId="0" borderId="9" xfId="0" applyFont="1" applyBorder="1" applyAlignment="1">
      <alignment horizontal="right"/>
    </xf>
    <xf numFmtId="0" fontId="8" fillId="0" borderId="14"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14" xfId="0" applyFont="1" applyBorder="1" applyAlignment="1">
      <alignment horizontal="left" vertical="top" wrapText="1"/>
    </xf>
    <xf numFmtId="0" fontId="8" fillId="0" borderId="13" xfId="0" applyFont="1" applyBorder="1" applyAlignment="1">
      <alignment horizontal="left" vertical="top" wrapText="1"/>
    </xf>
    <xf numFmtId="0" fontId="0" fillId="0" borderId="9" xfId="0" applyFont="1" applyFill="1" applyBorder="1" applyAlignment="1">
      <alignment horizontal="left" wrapText="1"/>
    </xf>
    <xf numFmtId="0" fontId="8" fillId="0" borderId="10" xfId="0" applyFont="1" applyFill="1" applyBorder="1" applyAlignment="1">
      <alignment horizontal="left" vertical="center"/>
    </xf>
    <xf numFmtId="0" fontId="8" fillId="0" borderId="14" xfId="0" applyFont="1" applyFill="1" applyBorder="1" applyAlignment="1">
      <alignment horizontal="left" vertical="center"/>
    </xf>
    <xf numFmtId="0" fontId="8" fillId="0" borderId="13" xfId="0" applyFont="1" applyFill="1" applyBorder="1" applyAlignment="1">
      <alignment horizontal="left" vertical="center"/>
    </xf>
    <xf numFmtId="0" fontId="4" fillId="0" borderId="10" xfId="0" applyFont="1" applyFill="1" applyBorder="1" applyAlignment="1">
      <alignment vertical="center"/>
    </xf>
    <xf numFmtId="0" fontId="4" fillId="0" borderId="13" xfId="0" applyFont="1" applyFill="1" applyBorder="1" applyAlignment="1">
      <alignment vertical="center"/>
    </xf>
    <xf numFmtId="0" fontId="10" fillId="0" borderId="10" xfId="0" applyFont="1" applyBorder="1" applyAlignment="1">
      <alignment horizontal="center"/>
    </xf>
    <xf numFmtId="0" fontId="10" fillId="0" borderId="13" xfId="0" applyFont="1" applyBorder="1" applyAlignment="1">
      <alignment horizontal="center"/>
    </xf>
    <xf numFmtId="0" fontId="8" fillId="0" borderId="10" xfId="0" applyFont="1" applyBorder="1" applyAlignment="1">
      <alignment horizontal="left"/>
    </xf>
    <xf numFmtId="0" fontId="8" fillId="0" borderId="14" xfId="0" applyFont="1" applyBorder="1" applyAlignment="1">
      <alignment horizontal="left"/>
    </xf>
    <xf numFmtId="0" fontId="8" fillId="0" borderId="13" xfId="0" applyFont="1" applyBorder="1" applyAlignment="1">
      <alignment horizontal="left"/>
    </xf>
    <xf numFmtId="0" fontId="8" fillId="0" borderId="9" xfId="0" applyFont="1" applyBorder="1" applyAlignment="1">
      <alignment horizontal="left"/>
    </xf>
    <xf numFmtId="0" fontId="0" fillId="0" borderId="31"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32"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27" xfId="0" applyFont="1" applyFill="1" applyBorder="1" applyAlignment="1">
      <alignment horizontal="left" vertical="top" wrapText="1"/>
    </xf>
    <xf numFmtId="0" fontId="10" fillId="0" borderId="10" xfId="0" applyFont="1" applyBorder="1" applyAlignment="1">
      <alignment vertical="center"/>
    </xf>
    <xf numFmtId="0" fontId="10" fillId="0" borderId="13" xfId="0" applyFont="1" applyBorder="1" applyAlignment="1">
      <alignment vertical="center"/>
    </xf>
    <xf numFmtId="0" fontId="10" fillId="0" borderId="31" xfId="0" applyFont="1" applyBorder="1" applyAlignment="1">
      <alignment horizontal="center" vertical="center" wrapText="1"/>
    </xf>
    <xf numFmtId="0" fontId="10" fillId="0" borderId="22" xfId="0" applyFont="1" applyBorder="1" applyAlignment="1">
      <alignment horizontal="center" vertical="center" wrapText="1"/>
    </xf>
    <xf numFmtId="166" fontId="8" fillId="0" borderId="10" xfId="0" applyNumberFormat="1" applyFont="1" applyFill="1" applyBorder="1" applyAlignment="1">
      <alignment horizontal="center"/>
    </xf>
    <xf numFmtId="166" fontId="8" fillId="0" borderId="13" xfId="0" applyNumberFormat="1" applyFont="1" applyFill="1" applyBorder="1" applyAlignment="1">
      <alignment horizontal="center"/>
    </xf>
    <xf numFmtId="0" fontId="19" fillId="0" borderId="22" xfId="0" applyFont="1" applyFill="1" applyBorder="1" applyAlignment="1">
      <alignment horizontal="left" vertical="top" wrapText="1"/>
    </xf>
    <xf numFmtId="0" fontId="19" fillId="0" borderId="32"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7" xfId="0" applyFont="1" applyFill="1" applyBorder="1" applyAlignment="1">
      <alignment horizontal="left" vertical="top" wrapText="1"/>
    </xf>
    <xf numFmtId="0" fontId="19" fillId="0" borderId="19"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20"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14" xfId="0" applyFont="1" applyBorder="1" applyAlignment="1">
      <alignment horizontal="left" vertical="center" wrapText="1"/>
    </xf>
    <xf numFmtId="0" fontId="8" fillId="0" borderId="13" xfId="0" applyFont="1" applyBorder="1" applyAlignment="1">
      <alignment horizontal="left" vertical="center" wrapText="1"/>
    </xf>
    <xf numFmtId="0" fontId="4" fillId="0" borderId="14"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10" fillId="0" borderId="10"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31" xfId="0" applyFont="1" applyBorder="1" applyAlignment="1">
      <alignment horizontal="center" wrapText="1"/>
    </xf>
    <xf numFmtId="0" fontId="10" fillId="0" borderId="22" xfId="0" applyFont="1" applyBorder="1" applyAlignment="1">
      <alignment horizontal="center" wrapText="1"/>
    </xf>
    <xf numFmtId="0" fontId="10" fillId="0" borderId="19" xfId="0" applyFont="1" applyBorder="1" applyAlignment="1">
      <alignment vertical="center"/>
    </xf>
    <xf numFmtId="0" fontId="10" fillId="0" borderId="20" xfId="0" applyFont="1" applyBorder="1" applyAlignment="1">
      <alignment vertical="center"/>
    </xf>
    <xf numFmtId="0" fontId="10" fillId="0" borderId="1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3" fillId="0" borderId="14" xfId="0" applyFont="1" applyBorder="1" applyAlignment="1">
      <alignment vertical="center" wrapText="1"/>
    </xf>
    <xf numFmtId="0" fontId="13" fillId="0" borderId="13" xfId="0" applyFont="1" applyBorder="1" applyAlignment="1">
      <alignment vertical="center" wrapText="1"/>
    </xf>
    <xf numFmtId="0" fontId="8" fillId="0" borderId="10" xfId="0" quotePrefix="1" applyFont="1" applyBorder="1" applyAlignment="1">
      <alignment horizontal="left" vertical="top" wrapText="1"/>
    </xf>
    <xf numFmtId="0" fontId="8" fillId="0" borderId="14" xfId="0" quotePrefix="1" applyFont="1" applyBorder="1" applyAlignment="1">
      <alignment horizontal="left" vertical="top" wrapText="1"/>
    </xf>
    <xf numFmtId="0" fontId="8" fillId="0" borderId="13" xfId="0" quotePrefix="1" applyFont="1" applyBorder="1" applyAlignment="1">
      <alignment horizontal="left" vertical="top" wrapText="1"/>
    </xf>
    <xf numFmtId="0" fontId="8" fillId="0" borderId="10" xfId="0" applyFont="1" applyBorder="1" applyAlignment="1">
      <alignment horizontal="left" vertical="top" wrapText="1"/>
    </xf>
    <xf numFmtId="0" fontId="10" fillId="4" borderId="10" xfId="0" applyFont="1" applyFill="1" applyBorder="1" applyAlignment="1">
      <alignment vertical="center"/>
    </xf>
    <xf numFmtId="0" fontId="10" fillId="4" borderId="13" xfId="0" applyFont="1" applyFill="1" applyBorder="1" applyAlignment="1">
      <alignment vertical="center"/>
    </xf>
    <xf numFmtId="0" fontId="13" fillId="0" borderId="10" xfId="0" applyFont="1" applyBorder="1" applyAlignment="1">
      <alignment horizontal="left" vertical="top" wrapText="1"/>
    </xf>
    <xf numFmtId="0" fontId="13" fillId="0" borderId="14" xfId="0" applyFont="1" applyBorder="1" applyAlignment="1">
      <alignment horizontal="left" vertical="top" wrapText="1"/>
    </xf>
    <xf numFmtId="0" fontId="13" fillId="0" borderId="13" xfId="0" applyFont="1" applyBorder="1" applyAlignment="1">
      <alignment horizontal="left" vertical="top" wrapText="1"/>
    </xf>
    <xf numFmtId="0" fontId="10" fillId="0" borderId="14" xfId="0" applyFont="1" applyFill="1" applyBorder="1" applyAlignment="1">
      <alignment horizontal="left" wrapText="1"/>
    </xf>
    <xf numFmtId="0" fontId="10" fillId="0" borderId="13" xfId="0" applyFont="1" applyFill="1" applyBorder="1" applyAlignment="1">
      <alignment horizontal="left" wrapText="1"/>
    </xf>
    <xf numFmtId="0" fontId="19" fillId="0" borderId="10"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4" fillId="0" borderId="10" xfId="0" applyFont="1" applyBorder="1" applyAlignment="1">
      <alignment horizontal="left"/>
    </xf>
    <xf numFmtId="0" fontId="4" fillId="0" borderId="14" xfId="0" applyFont="1" applyBorder="1" applyAlignment="1">
      <alignment horizontal="left"/>
    </xf>
    <xf numFmtId="0" fontId="4" fillId="0" borderId="13" xfId="0" applyFont="1" applyBorder="1" applyAlignment="1">
      <alignment horizontal="left"/>
    </xf>
    <xf numFmtId="0" fontId="0" fillId="0" borderId="10" xfId="0" applyFont="1" applyBorder="1" applyAlignment="1">
      <alignment horizontal="left" wrapText="1"/>
    </xf>
    <xf numFmtId="0" fontId="0" fillId="0" borderId="14" xfId="0" applyFont="1" applyBorder="1" applyAlignment="1">
      <alignment horizontal="left" wrapText="1"/>
    </xf>
    <xf numFmtId="0" fontId="0" fillId="0" borderId="13" xfId="0" applyFont="1" applyBorder="1" applyAlignment="1">
      <alignment horizontal="left" wrapText="1"/>
    </xf>
    <xf numFmtId="0" fontId="0" fillId="0" borderId="14" xfId="0" applyFont="1" applyBorder="1" applyAlignment="1">
      <alignment wrapText="1"/>
    </xf>
    <xf numFmtId="0" fontId="0" fillId="0" borderId="13" xfId="0" applyFont="1" applyBorder="1" applyAlignment="1">
      <alignment wrapText="1"/>
    </xf>
    <xf numFmtId="172" fontId="8" fillId="0" borderId="10" xfId="0" applyNumberFormat="1" applyFont="1" applyBorder="1" applyAlignment="1">
      <alignment horizontal="center" wrapText="1"/>
    </xf>
    <xf numFmtId="172" fontId="8" fillId="0" borderId="13" xfId="0" applyNumberFormat="1" applyFont="1" applyBorder="1" applyAlignment="1">
      <alignment horizontal="center" wrapText="1"/>
    </xf>
    <xf numFmtId="0" fontId="10" fillId="4" borderId="10" xfId="0" applyFont="1" applyFill="1" applyBorder="1" applyAlignment="1">
      <alignment vertical="center" wrapText="1"/>
    </xf>
    <xf numFmtId="0" fontId="10" fillId="4" borderId="13" xfId="0" applyFont="1" applyFill="1" applyBorder="1" applyAlignment="1">
      <alignment vertical="center" wrapText="1"/>
    </xf>
    <xf numFmtId="0" fontId="10" fillId="0" borderId="10" xfId="0" applyFont="1" applyBorder="1" applyAlignment="1">
      <alignment horizontal="center" vertical="center"/>
    </xf>
    <xf numFmtId="0" fontId="10" fillId="0" borderId="14" xfId="0" applyFont="1" applyBorder="1" applyAlignment="1">
      <alignment horizontal="center" vertical="center"/>
    </xf>
    <xf numFmtId="0" fontId="10" fillId="0" borderId="13" xfId="0" applyFont="1" applyBorder="1" applyAlignment="1">
      <alignment horizontal="center" vertical="center"/>
    </xf>
    <xf numFmtId="0" fontId="8" fillId="0" borderId="32" xfId="0" applyFont="1" applyFill="1" applyBorder="1" applyAlignment="1">
      <alignment horizontal="left" wrapText="1"/>
    </xf>
    <xf numFmtId="0" fontId="8" fillId="0" borderId="0" xfId="0" applyFont="1" applyFill="1" applyBorder="1" applyAlignment="1">
      <alignment horizontal="left" wrapText="1"/>
    </xf>
    <xf numFmtId="0" fontId="8" fillId="0" borderId="27" xfId="0" applyFont="1" applyFill="1" applyBorder="1" applyAlignment="1">
      <alignment horizontal="left" wrapText="1"/>
    </xf>
    <xf numFmtId="0" fontId="8" fillId="0" borderId="35" xfId="0" applyFont="1" applyFill="1" applyBorder="1" applyAlignment="1">
      <alignment horizontal="left" wrapText="1"/>
    </xf>
    <xf numFmtId="0" fontId="8" fillId="0" borderId="30" xfId="0" applyFont="1" applyFill="1" applyBorder="1" applyAlignment="1">
      <alignment horizontal="left" wrapText="1"/>
    </xf>
    <xf numFmtId="0" fontId="8" fillId="0" borderId="29" xfId="0" applyFont="1" applyFill="1" applyBorder="1" applyAlignment="1">
      <alignment horizontal="left" wrapText="1"/>
    </xf>
    <xf numFmtId="0" fontId="4" fillId="0" borderId="9" xfId="0" applyFont="1" applyFill="1" applyBorder="1" applyAlignment="1">
      <alignment horizontal="center" vertical="center" wrapText="1"/>
    </xf>
    <xf numFmtId="0" fontId="0" fillId="0" borderId="33"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8" fillId="0" borderId="9" xfId="0" applyFont="1" applyFill="1" applyBorder="1" applyAlignment="1">
      <alignment horizontal="center" vertical="center" wrapText="1"/>
    </xf>
    <xf numFmtId="0" fontId="0" fillId="0" borderId="19" xfId="0" applyFont="1" applyFill="1" applyBorder="1" applyAlignment="1">
      <alignment wrapText="1"/>
    </xf>
    <xf numFmtId="0" fontId="0" fillId="0" borderId="1" xfId="0" applyFont="1" applyFill="1" applyBorder="1" applyAlignment="1"/>
    <xf numFmtId="0" fontId="0" fillId="0" borderId="20" xfId="0" applyFont="1" applyFill="1" applyBorder="1" applyAlignment="1"/>
    <xf numFmtId="0" fontId="8" fillId="0" borderId="33" xfId="0" applyFont="1" applyFill="1" applyBorder="1" applyAlignment="1">
      <alignment horizontal="left" vertical="top"/>
    </xf>
    <xf numFmtId="0" fontId="8" fillId="0" borderId="38" xfId="0" applyFont="1" applyFill="1" applyBorder="1" applyAlignment="1">
      <alignment horizontal="left" vertical="top"/>
    </xf>
    <xf numFmtId="0" fontId="8" fillId="0" borderId="34" xfId="0" applyFont="1" applyFill="1" applyBorder="1" applyAlignment="1">
      <alignment horizontal="left" vertical="top"/>
    </xf>
    <xf numFmtId="0" fontId="0" fillId="0" borderId="33" xfId="0" applyFont="1" applyBorder="1" applyAlignment="1">
      <alignment horizontal="left" vertical="top" wrapText="1"/>
    </xf>
    <xf numFmtId="0" fontId="0" fillId="0" borderId="38" xfId="0" applyFont="1" applyBorder="1" applyAlignment="1">
      <alignment horizontal="left" vertical="top" wrapText="1"/>
    </xf>
    <xf numFmtId="0" fontId="0" fillId="0" borderId="34" xfId="0" applyFont="1" applyBorder="1" applyAlignment="1">
      <alignment horizontal="left" vertical="top" wrapText="1"/>
    </xf>
    <xf numFmtId="0" fontId="4" fillId="0" borderId="8" xfId="0" applyFont="1" applyFill="1" applyBorder="1" applyAlignment="1">
      <alignment horizontal="left" vertical="center" wrapText="1"/>
    </xf>
    <xf numFmtId="0" fontId="4" fillId="0" borderId="19"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0" xfId="0" applyFont="1" applyFill="1" applyBorder="1" applyAlignment="1">
      <alignment horizontal="right"/>
    </xf>
    <xf numFmtId="0" fontId="4" fillId="0" borderId="14" xfId="0" applyFont="1" applyFill="1" applyBorder="1" applyAlignment="1">
      <alignment horizontal="right"/>
    </xf>
    <xf numFmtId="0" fontId="4" fillId="0" borderId="13" xfId="0" applyFont="1" applyFill="1" applyBorder="1" applyAlignment="1">
      <alignment horizontal="right"/>
    </xf>
    <xf numFmtId="0" fontId="8" fillId="2" borderId="54" xfId="0" applyFont="1" applyFill="1" applyBorder="1" applyAlignment="1">
      <alignment horizontal="center"/>
    </xf>
    <xf numFmtId="0" fontId="8" fillId="2" borderId="55" xfId="0" applyFont="1" applyFill="1" applyBorder="1" applyAlignment="1">
      <alignment horizontal="center"/>
    </xf>
    <xf numFmtId="0" fontId="4" fillId="0" borderId="9"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4" fillId="0" borderId="14" xfId="0" applyFont="1" applyBorder="1" applyAlignment="1">
      <alignment wrapText="1"/>
    </xf>
    <xf numFmtId="0" fontId="0" fillId="0" borderId="31" xfId="0"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32" xfId="0" applyBorder="1" applyAlignment="1">
      <alignment horizontal="left" vertical="top" wrapText="1"/>
    </xf>
    <xf numFmtId="0" fontId="0" fillId="0" borderId="0" xfId="0" applyBorder="1" applyAlignment="1">
      <alignment horizontal="left" vertical="top" wrapText="1"/>
    </xf>
    <xf numFmtId="0" fontId="0" fillId="0" borderId="27" xfId="0" applyBorder="1" applyAlignment="1">
      <alignment horizontal="left" vertical="top" wrapText="1"/>
    </xf>
    <xf numFmtId="0" fontId="0" fillId="0" borderId="19" xfId="0" applyBorder="1" applyAlignment="1">
      <alignment horizontal="left" vertical="top" wrapText="1"/>
    </xf>
    <xf numFmtId="0" fontId="0" fillId="0" borderId="1" xfId="0" applyBorder="1" applyAlignment="1">
      <alignment horizontal="left" vertical="top" wrapText="1"/>
    </xf>
    <xf numFmtId="0" fontId="0" fillId="0" borderId="20" xfId="0" applyBorder="1" applyAlignment="1">
      <alignment horizontal="left" vertical="top" wrapText="1"/>
    </xf>
    <xf numFmtId="0" fontId="10" fillId="0" borderId="19" xfId="0" applyFont="1" applyFill="1" applyBorder="1" applyAlignment="1">
      <alignment horizontal="left" vertical="center"/>
    </xf>
    <xf numFmtId="0" fontId="10" fillId="0" borderId="20" xfId="0" applyFont="1" applyFill="1" applyBorder="1" applyAlignment="1">
      <alignment horizontal="left" vertical="center"/>
    </xf>
    <xf numFmtId="0" fontId="14" fillId="0" borderId="10" xfId="0" applyFont="1" applyFill="1" applyBorder="1" applyAlignment="1">
      <alignment vertical="center" wrapText="1"/>
    </xf>
    <xf numFmtId="0" fontId="14" fillId="0" borderId="14" xfId="0" applyFont="1" applyFill="1" applyBorder="1" applyAlignment="1">
      <alignment vertical="center" wrapText="1"/>
    </xf>
    <xf numFmtId="0" fontId="14" fillId="0" borderId="13" xfId="0" applyFont="1" applyFill="1" applyBorder="1" applyAlignment="1">
      <alignment vertical="center" wrapText="1"/>
    </xf>
    <xf numFmtId="166" fontId="8" fillId="0" borderId="10" xfId="0" applyNumberFormat="1" applyFont="1" applyBorder="1" applyAlignment="1">
      <alignment horizontal="center" vertical="center" wrapText="1"/>
    </xf>
    <xf numFmtId="166" fontId="8" fillId="0" borderId="13" xfId="0" applyNumberFormat="1" applyFont="1" applyBorder="1" applyAlignment="1">
      <alignment horizontal="center" vertical="center" wrapText="1"/>
    </xf>
    <xf numFmtId="0" fontId="8" fillId="0" borderId="33"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33" xfId="0" applyFont="1" applyFill="1" applyBorder="1" applyAlignment="1">
      <alignment horizontal="left" vertical="top" wrapText="1"/>
    </xf>
    <xf numFmtId="0" fontId="8" fillId="0" borderId="38" xfId="0" applyFont="1" applyFill="1" applyBorder="1" applyAlignment="1">
      <alignment horizontal="left" vertical="top" wrapText="1"/>
    </xf>
    <xf numFmtId="0" fontId="8" fillId="0" borderId="34" xfId="0" applyFont="1" applyFill="1" applyBorder="1" applyAlignment="1">
      <alignment horizontal="left" vertical="top" wrapText="1"/>
    </xf>
    <xf numFmtId="0" fontId="14" fillId="0" borderId="10" xfId="0" applyFont="1" applyFill="1" applyBorder="1" applyAlignment="1">
      <alignment vertical="top" wrapText="1"/>
    </xf>
    <xf numFmtId="0" fontId="14" fillId="0" borderId="14" xfId="0" applyFont="1" applyFill="1" applyBorder="1" applyAlignment="1">
      <alignment vertical="top" wrapText="1"/>
    </xf>
    <xf numFmtId="0" fontId="14" fillId="0" borderId="13" xfId="0" applyFont="1" applyFill="1" applyBorder="1" applyAlignment="1">
      <alignment vertical="top" wrapText="1"/>
    </xf>
    <xf numFmtId="0" fontId="8" fillId="0" borderId="10" xfId="0" quotePrefix="1" applyNumberFormat="1" applyFont="1" applyFill="1" applyBorder="1" applyAlignment="1">
      <alignment horizontal="left" vertical="top" wrapText="1"/>
    </xf>
    <xf numFmtId="0" fontId="8" fillId="0" borderId="14" xfId="0" quotePrefix="1" applyNumberFormat="1" applyFont="1" applyFill="1" applyBorder="1" applyAlignment="1">
      <alignment horizontal="left" vertical="top" wrapText="1"/>
    </xf>
    <xf numFmtId="0" fontId="8" fillId="0" borderId="13" xfId="0" quotePrefix="1" applyNumberFormat="1" applyFont="1" applyFill="1" applyBorder="1" applyAlignment="1">
      <alignment horizontal="left" vertical="top" wrapText="1"/>
    </xf>
    <xf numFmtId="0" fontId="10" fillId="0" borderId="39" xfId="0" applyFont="1" applyFill="1" applyBorder="1" applyAlignment="1">
      <alignment vertical="center" wrapText="1"/>
    </xf>
    <xf numFmtId="0" fontId="10" fillId="0" borderId="36" xfId="0" applyFont="1" applyFill="1" applyBorder="1" applyAlignment="1">
      <alignment vertical="center" wrapText="1"/>
    </xf>
    <xf numFmtId="0" fontId="10" fillId="0" borderId="10" xfId="0" applyFont="1" applyFill="1" applyBorder="1" applyAlignment="1">
      <alignment horizontal="left" wrapText="1"/>
    </xf>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4" xfId="0" applyFont="1" applyBorder="1" applyAlignment="1">
      <alignment horizontal="left" vertical="center" wrapText="1"/>
    </xf>
    <xf numFmtId="0" fontId="0" fillId="0" borderId="13" xfId="0" applyFont="1" applyBorder="1" applyAlignment="1">
      <alignment horizontal="left" vertical="center" wrapText="1"/>
    </xf>
    <xf numFmtId="0" fontId="10" fillId="0" borderId="9" xfId="0" applyFont="1" applyFill="1" applyBorder="1" applyAlignment="1">
      <alignment vertical="center"/>
    </xf>
    <xf numFmtId="0" fontId="10" fillId="0" borderId="9" xfId="0" applyFont="1" applyFill="1" applyBorder="1" applyAlignment="1">
      <alignment horizontal="left"/>
    </xf>
    <xf numFmtId="0" fontId="10" fillId="0" borderId="9" xfId="0" applyFont="1" applyFill="1" applyBorder="1" applyAlignment="1">
      <alignment horizontal="center"/>
    </xf>
    <xf numFmtId="0" fontId="0" fillId="0" borderId="10" xfId="0" quotePrefix="1" applyNumberFormat="1" applyFont="1" applyBorder="1" applyAlignment="1">
      <alignment horizontal="left" vertical="top" wrapText="1"/>
    </xf>
    <xf numFmtId="0" fontId="0" fillId="0" borderId="14" xfId="0" quotePrefix="1" applyNumberFormat="1" applyFont="1" applyBorder="1" applyAlignment="1">
      <alignment horizontal="left" vertical="top" wrapText="1"/>
    </xf>
    <xf numFmtId="0" fontId="0" fillId="0" borderId="13" xfId="0" quotePrefix="1" applyNumberFormat="1" applyFont="1" applyBorder="1" applyAlignment="1">
      <alignment horizontal="left" vertical="top" wrapText="1"/>
    </xf>
    <xf numFmtId="0" fontId="8" fillId="0" borderId="10" xfId="0" applyFont="1" applyBorder="1" applyAlignment="1">
      <alignment horizontal="left" vertical="top"/>
    </xf>
    <xf numFmtId="0" fontId="10" fillId="0" borderId="39" xfId="0" applyFont="1" applyFill="1" applyBorder="1" applyAlignment="1">
      <alignment vertical="center"/>
    </xf>
    <xf numFmtId="0" fontId="10" fillId="0" borderId="36" xfId="0" applyFont="1" applyFill="1" applyBorder="1" applyAlignment="1">
      <alignment vertical="center"/>
    </xf>
    <xf numFmtId="0" fontId="0" fillId="0" borderId="14"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8" fillId="2" borderId="16" xfId="0" applyFont="1" applyFill="1" applyBorder="1" applyAlignment="1">
      <alignment horizontal="right" vertical="center"/>
    </xf>
    <xf numFmtId="0" fontId="8" fillId="2" borderId="17" xfId="0" applyFont="1" applyFill="1" applyBorder="1" applyAlignment="1">
      <alignment horizontal="right" vertical="center"/>
    </xf>
    <xf numFmtId="0" fontId="8" fillId="2" borderId="18" xfId="0" applyFont="1" applyFill="1" applyBorder="1" applyAlignment="1">
      <alignment horizontal="right" vertical="center"/>
    </xf>
    <xf numFmtId="165" fontId="8" fillId="0" borderId="10" xfId="1" applyNumberFormat="1" applyFont="1" applyFill="1" applyBorder="1" applyAlignment="1">
      <alignment horizontal="right" vertical="center" wrapText="1"/>
    </xf>
    <xf numFmtId="165" fontId="8" fillId="0" borderId="13" xfId="1" applyNumberFormat="1" applyFont="1" applyFill="1" applyBorder="1" applyAlignment="1">
      <alignment horizontal="right" vertical="center" wrapText="1"/>
    </xf>
    <xf numFmtId="0" fontId="4" fillId="0" borderId="39" xfId="0" applyFont="1" applyFill="1" applyBorder="1" applyAlignment="1">
      <alignment horizontal="left" vertical="center" wrapText="1"/>
    </xf>
    <xf numFmtId="0" fontId="4" fillId="0" borderId="36" xfId="0" applyFont="1" applyFill="1" applyBorder="1" applyAlignment="1">
      <alignment horizontal="left" vertical="center" wrapText="1"/>
    </xf>
    <xf numFmtId="0" fontId="8" fillId="0" borderId="33" xfId="0" applyFont="1" applyBorder="1" applyAlignment="1">
      <alignment horizontal="left" wrapText="1"/>
    </xf>
    <xf numFmtId="0" fontId="8" fillId="0" borderId="38" xfId="0" applyFont="1" applyBorder="1" applyAlignment="1">
      <alignment horizontal="left" wrapText="1"/>
    </xf>
    <xf numFmtId="0" fontId="8" fillId="0" borderId="34" xfId="0" applyFont="1" applyBorder="1" applyAlignment="1">
      <alignment horizontal="left" wrapText="1"/>
    </xf>
    <xf numFmtId="0" fontId="8" fillId="0" borderId="33" xfId="0" applyFont="1" applyFill="1" applyBorder="1" applyAlignment="1">
      <alignment horizontal="center"/>
    </xf>
    <xf numFmtId="0" fontId="8" fillId="0" borderId="38" xfId="0" applyFont="1" applyFill="1" applyBorder="1" applyAlignment="1">
      <alignment horizontal="center"/>
    </xf>
    <xf numFmtId="0" fontId="8" fillId="0" borderId="34" xfId="0" applyFont="1" applyFill="1" applyBorder="1" applyAlignment="1">
      <alignment horizontal="center"/>
    </xf>
    <xf numFmtId="0" fontId="19" fillId="0" borderId="33" xfId="0" applyFont="1" applyFill="1" applyBorder="1" applyAlignment="1">
      <alignment horizontal="left" wrapText="1"/>
    </xf>
    <xf numFmtId="0" fontId="19" fillId="0" borderId="38" xfId="0" applyFont="1" applyFill="1" applyBorder="1" applyAlignment="1">
      <alignment horizontal="left" wrapText="1"/>
    </xf>
    <xf numFmtId="0" fontId="19" fillId="0" borderId="34" xfId="0" applyFont="1" applyFill="1" applyBorder="1" applyAlignment="1">
      <alignment horizontal="left" wrapText="1"/>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8" fillId="0" borderId="14" xfId="0" applyFont="1" applyFill="1" applyBorder="1" applyAlignment="1">
      <alignment horizontal="center"/>
    </xf>
    <xf numFmtId="0" fontId="10" fillId="2" borderId="14"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4" fillId="0" borderId="9" xfId="0" applyFont="1" applyBorder="1" applyAlignment="1">
      <alignment horizontal="center"/>
    </xf>
    <xf numFmtId="0" fontId="4" fillId="0" borderId="9" xfId="0" applyFont="1" applyBorder="1" applyAlignment="1">
      <alignment horizontal="left" vertical="center" wrapText="1"/>
    </xf>
    <xf numFmtId="0" fontId="27" fillId="0" borderId="10" xfId="0" applyFont="1" applyBorder="1" applyAlignment="1">
      <alignment horizontal="left"/>
    </xf>
    <xf numFmtId="0" fontId="27" fillId="0" borderId="14" xfId="0" applyFont="1" applyBorder="1" applyAlignment="1">
      <alignment horizontal="left"/>
    </xf>
    <xf numFmtId="0" fontId="27" fillId="0" borderId="13" xfId="0" applyFont="1" applyBorder="1" applyAlignment="1">
      <alignment horizontal="left"/>
    </xf>
    <xf numFmtId="0" fontId="8" fillId="0" borderId="31" xfId="0" applyFont="1" applyBorder="1" applyAlignment="1">
      <alignment horizontal="right" wrapText="1"/>
    </xf>
    <xf numFmtId="0" fontId="8" fillId="0" borderId="21" xfId="0" applyFont="1" applyBorder="1" applyAlignment="1">
      <alignment horizontal="right" wrapText="1"/>
    </xf>
    <xf numFmtId="0" fontId="8" fillId="0" borderId="22" xfId="0" applyFont="1" applyBorder="1" applyAlignment="1">
      <alignment horizontal="right" wrapText="1"/>
    </xf>
    <xf numFmtId="0" fontId="0" fillId="0" borderId="19" xfId="0" applyFont="1" applyBorder="1" applyAlignment="1">
      <alignment horizontal="right"/>
    </xf>
    <xf numFmtId="0" fontId="0" fillId="0" borderId="1" xfId="0" applyFont="1" applyBorder="1" applyAlignment="1">
      <alignment horizontal="right"/>
    </xf>
    <xf numFmtId="0" fontId="0" fillId="0" borderId="20" xfId="0" applyFont="1" applyBorder="1" applyAlignment="1">
      <alignment horizontal="right"/>
    </xf>
    <xf numFmtId="0" fontId="0" fillId="0" borderId="15" xfId="0" applyFont="1" applyBorder="1" applyAlignment="1">
      <alignment horizontal="left" vertical="center" wrapText="1"/>
    </xf>
    <xf numFmtId="0" fontId="8" fillId="0" borderId="15" xfId="0" applyFont="1" applyFill="1" applyBorder="1" applyAlignment="1">
      <alignment horizontal="left" vertical="top" wrapText="1"/>
    </xf>
    <xf numFmtId="0" fontId="4" fillId="0" borderId="9" xfId="0" applyFont="1" applyFill="1" applyBorder="1" applyAlignment="1">
      <alignment horizontal="center"/>
    </xf>
    <xf numFmtId="0" fontId="8" fillId="0" borderId="31" xfId="0" applyFont="1" applyFill="1" applyBorder="1" applyAlignment="1">
      <alignment horizontal="right" wrapText="1"/>
    </xf>
    <xf numFmtId="0" fontId="8" fillId="0" borderId="21" xfId="0" applyFont="1" applyFill="1" applyBorder="1" applyAlignment="1">
      <alignment horizontal="right" wrapText="1"/>
    </xf>
    <xf numFmtId="0" fontId="8" fillId="0" borderId="22" xfId="0" applyFont="1" applyFill="1" applyBorder="1" applyAlignment="1">
      <alignment horizontal="right" wrapText="1"/>
    </xf>
    <xf numFmtId="0" fontId="27" fillId="0" borderId="10" xfId="0" applyFont="1" applyFill="1" applyBorder="1" applyAlignment="1">
      <alignment horizontal="left"/>
    </xf>
    <xf numFmtId="0" fontId="27" fillId="0" borderId="14" xfId="0" applyFont="1" applyFill="1" applyBorder="1" applyAlignment="1">
      <alignment horizontal="left"/>
    </xf>
    <xf numFmtId="0" fontId="27" fillId="0" borderId="13" xfId="0" applyFont="1" applyFill="1" applyBorder="1" applyAlignment="1">
      <alignment horizontal="left"/>
    </xf>
    <xf numFmtId="0" fontId="4" fillId="0" borderId="10" xfId="0" applyFont="1" applyBorder="1" applyAlignment="1">
      <alignment vertical="center"/>
    </xf>
    <xf numFmtId="0" fontId="4" fillId="0" borderId="13" xfId="0" applyFont="1" applyBorder="1" applyAlignment="1">
      <alignment vertical="center"/>
    </xf>
    <xf numFmtId="0" fontId="4" fillId="0" borderId="10" xfId="0" applyFont="1" applyBorder="1" applyAlignment="1">
      <alignment horizontal="left" vertical="center" wrapText="1"/>
    </xf>
    <xf numFmtId="0" fontId="4" fillId="0" borderId="13" xfId="0" applyFont="1" applyBorder="1" applyAlignment="1">
      <alignment horizontal="left" vertical="center" wrapText="1"/>
    </xf>
    <xf numFmtId="0" fontId="4" fillId="0" borderId="2" xfId="0" applyFont="1" applyBorder="1" applyAlignment="1">
      <alignment horizontal="center" vertical="center" wrapText="1"/>
    </xf>
    <xf numFmtId="0" fontId="4" fillId="0" borderId="36" xfId="0" applyFont="1" applyBorder="1" applyAlignment="1">
      <alignment horizontal="center" vertical="center" wrapText="1"/>
    </xf>
    <xf numFmtId="0" fontId="0" fillId="0" borderId="34" xfId="0" applyFont="1" applyFill="1" applyBorder="1" applyAlignment="1">
      <alignment horizontal="left" vertical="center" wrapText="1"/>
    </xf>
    <xf numFmtId="0" fontId="0" fillId="0" borderId="31"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8" fillId="0" borderId="33" xfId="0" applyFont="1" applyFill="1" applyBorder="1" applyAlignment="1">
      <alignment horizontal="left" wrapText="1"/>
    </xf>
    <xf numFmtId="0" fontId="8" fillId="0" borderId="38" xfId="0" applyFont="1" applyFill="1" applyBorder="1" applyAlignment="1">
      <alignment horizontal="left" wrapText="1"/>
    </xf>
    <xf numFmtId="0" fontId="8" fillId="0" borderId="34" xfId="0" applyFont="1" applyFill="1" applyBorder="1" applyAlignment="1">
      <alignment horizontal="left" wrapText="1"/>
    </xf>
    <xf numFmtId="0" fontId="0" fillId="0" borderId="10" xfId="0" applyFont="1" applyBorder="1" applyAlignment="1">
      <alignment horizontal="right" wrapText="1"/>
    </xf>
    <xf numFmtId="0" fontId="0" fillId="0" borderId="14" xfId="0" applyFont="1" applyBorder="1" applyAlignment="1">
      <alignment horizontal="right" wrapText="1"/>
    </xf>
    <xf numFmtId="0" fontId="0" fillId="0" borderId="13" xfId="0" applyFont="1" applyBorder="1" applyAlignment="1">
      <alignment horizontal="right" wrapText="1"/>
    </xf>
    <xf numFmtId="0" fontId="19" fillId="0" borderId="33" xfId="0" applyFont="1" applyBorder="1" applyAlignment="1">
      <alignment horizontal="left" wrapText="1"/>
    </xf>
    <xf numFmtId="0" fontId="19" fillId="0" borderId="38" xfId="0" applyFont="1" applyBorder="1" applyAlignment="1">
      <alignment horizontal="left" wrapText="1"/>
    </xf>
    <xf numFmtId="0" fontId="19" fillId="0" borderId="34" xfId="0" applyFont="1" applyBorder="1" applyAlignment="1">
      <alignment horizontal="left" wrapText="1"/>
    </xf>
    <xf numFmtId="0" fontId="0" fillId="0" borderId="10" xfId="0" applyFont="1" applyFill="1" applyBorder="1" applyAlignment="1">
      <alignment horizontal="center" wrapText="1"/>
    </xf>
    <xf numFmtId="0" fontId="0" fillId="0" borderId="14" xfId="0" applyFont="1" applyFill="1" applyBorder="1" applyAlignment="1">
      <alignment horizontal="center" wrapText="1"/>
    </xf>
    <xf numFmtId="0" fontId="0" fillId="0" borderId="13" xfId="0" applyFont="1" applyFill="1" applyBorder="1" applyAlignment="1">
      <alignment horizontal="center" wrapText="1"/>
    </xf>
    <xf numFmtId="0" fontId="4" fillId="0" borderId="10" xfId="0" applyFont="1" applyFill="1" applyBorder="1" applyAlignment="1">
      <alignment horizontal="center" vertical="center" wrapText="1"/>
    </xf>
    <xf numFmtId="166" fontId="8" fillId="0" borderId="9" xfId="0" applyNumberFormat="1" applyFont="1" applyFill="1" applyBorder="1" applyAlignment="1">
      <alignment horizontal="center" vertical="center" wrapText="1"/>
    </xf>
    <xf numFmtId="0" fontId="4" fillId="0" borderId="24" xfId="0" applyFont="1" applyFill="1" applyBorder="1" applyAlignment="1">
      <alignment horizontal="center" vertical="center" wrapText="1"/>
    </xf>
    <xf numFmtId="0" fontId="19" fillId="0" borderId="10"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3" xfId="0" applyFont="1" applyFill="1" applyBorder="1" applyAlignment="1">
      <alignment horizontal="left" vertical="top" wrapText="1"/>
    </xf>
    <xf numFmtId="0" fontId="8" fillId="0" borderId="33" xfId="0" applyFont="1" applyBorder="1" applyAlignment="1">
      <alignment horizontal="left" vertical="center" wrapText="1"/>
    </xf>
    <xf numFmtId="0" fontId="8" fillId="0" borderId="38" xfId="0" applyFont="1" applyBorder="1" applyAlignment="1">
      <alignment horizontal="left" vertical="center" wrapText="1"/>
    </xf>
    <xf numFmtId="0" fontId="8" fillId="0" borderId="34" xfId="0" applyFont="1" applyBorder="1" applyAlignment="1">
      <alignment horizontal="left" vertical="center" wrapText="1"/>
    </xf>
    <xf numFmtId="165" fontId="8" fillId="0" borderId="10" xfId="0" applyNumberFormat="1" applyFont="1" applyBorder="1" applyAlignment="1">
      <alignment horizontal="center"/>
    </xf>
    <xf numFmtId="165" fontId="8" fillId="0" borderId="14" xfId="0" applyNumberFormat="1" applyFont="1" applyBorder="1" applyAlignment="1">
      <alignment horizontal="center"/>
    </xf>
    <xf numFmtId="165" fontId="8" fillId="0" borderId="13" xfId="0" applyNumberFormat="1" applyFont="1" applyBorder="1" applyAlignment="1">
      <alignment horizontal="center"/>
    </xf>
    <xf numFmtId="0" fontId="8" fillId="0" borderId="10" xfId="0" applyFont="1" applyFill="1" applyBorder="1" applyAlignment="1">
      <alignment horizontal="center" wrapText="1"/>
    </xf>
    <xf numFmtId="0" fontId="8" fillId="0" borderId="14" xfId="0" applyFont="1" applyFill="1" applyBorder="1" applyAlignment="1">
      <alignment horizontal="center" wrapText="1"/>
    </xf>
    <xf numFmtId="0" fontId="8" fillId="0" borderId="13" xfId="0" applyFont="1" applyFill="1" applyBorder="1" applyAlignment="1">
      <alignment horizontal="center" wrapText="1"/>
    </xf>
    <xf numFmtId="0" fontId="8" fillId="0" borderId="31" xfId="0" applyFont="1" applyFill="1" applyBorder="1" applyAlignment="1">
      <alignment horizontal="left" wrapText="1"/>
    </xf>
    <xf numFmtId="0" fontId="8" fillId="0" borderId="21" xfId="0" applyFont="1" applyFill="1" applyBorder="1" applyAlignment="1">
      <alignment horizontal="left"/>
    </xf>
    <xf numFmtId="0" fontId="8" fillId="0" borderId="22" xfId="0" applyFont="1" applyFill="1" applyBorder="1" applyAlignment="1">
      <alignment horizontal="left"/>
    </xf>
    <xf numFmtId="0" fontId="19" fillId="0" borderId="10" xfId="0" applyFont="1" applyFill="1" applyBorder="1" applyAlignment="1">
      <alignment horizontal="left"/>
    </xf>
    <xf numFmtId="0" fontId="19" fillId="0" borderId="14" xfId="0" applyFont="1" applyFill="1" applyBorder="1" applyAlignment="1">
      <alignment horizontal="left"/>
    </xf>
    <xf numFmtId="0" fontId="19" fillId="0" borderId="13" xfId="0" applyFont="1" applyFill="1" applyBorder="1" applyAlignment="1">
      <alignment horizontal="left"/>
    </xf>
    <xf numFmtId="0" fontId="10"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33" xfId="0" applyFont="1" applyBorder="1" applyAlignment="1">
      <alignment horizontal="left"/>
    </xf>
    <xf numFmtId="0" fontId="8" fillId="0" borderId="38" xfId="0" applyFont="1" applyBorder="1" applyAlignment="1">
      <alignment horizontal="left"/>
    </xf>
    <xf numFmtId="0" fontId="8" fillId="0" borderId="34" xfId="0" applyFont="1" applyBorder="1" applyAlignment="1">
      <alignment horizontal="left"/>
    </xf>
    <xf numFmtId="165" fontId="8" fillId="0" borderId="33" xfId="0" applyNumberFormat="1" applyFont="1" applyFill="1" applyBorder="1" applyAlignment="1">
      <alignment horizontal="center"/>
    </xf>
    <xf numFmtId="165" fontId="8" fillId="0" borderId="38" xfId="0" applyNumberFormat="1" applyFont="1" applyFill="1" applyBorder="1" applyAlignment="1">
      <alignment horizontal="center"/>
    </xf>
    <xf numFmtId="165" fontId="8" fillId="0" borderId="34" xfId="0" applyNumberFormat="1" applyFont="1" applyFill="1" applyBorder="1" applyAlignment="1">
      <alignment horizontal="center"/>
    </xf>
    <xf numFmtId="0" fontId="3" fillId="0" borderId="10"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4" fillId="0" borderId="10" xfId="0" applyFont="1" applyFill="1" applyBorder="1" applyAlignment="1">
      <alignment vertical="center" wrapText="1"/>
    </xf>
    <xf numFmtId="0" fontId="4" fillId="0" borderId="13" xfId="0" applyFont="1" applyFill="1" applyBorder="1" applyAlignment="1">
      <alignment vertical="center" wrapText="1"/>
    </xf>
    <xf numFmtId="165" fontId="10" fillId="0" borderId="10" xfId="0" applyNumberFormat="1" applyFont="1" applyFill="1" applyBorder="1" applyAlignment="1">
      <alignment horizontal="right"/>
    </xf>
    <xf numFmtId="165" fontId="10" fillId="0" borderId="14" xfId="0" applyNumberFormat="1" applyFont="1" applyFill="1" applyBorder="1" applyAlignment="1">
      <alignment horizontal="right"/>
    </xf>
    <xf numFmtId="165" fontId="10" fillId="0" borderId="13" xfId="0" applyNumberFormat="1" applyFont="1" applyFill="1" applyBorder="1" applyAlignment="1">
      <alignment horizontal="right"/>
    </xf>
    <xf numFmtId="0" fontId="4" fillId="0" borderId="10" xfId="0" applyFont="1" applyFill="1" applyBorder="1" applyAlignment="1">
      <alignment horizontal="left" vertical="center"/>
    </xf>
    <xf numFmtId="0" fontId="4" fillId="0" borderId="13" xfId="0" applyFont="1" applyFill="1" applyBorder="1" applyAlignment="1">
      <alignment horizontal="left" vertical="center"/>
    </xf>
    <xf numFmtId="0" fontId="29" fillId="0" borderId="10" xfId="0" applyNumberFormat="1" applyFont="1" applyFill="1" applyBorder="1" applyAlignment="1" applyProtection="1">
      <alignment horizontal="left" vertical="center"/>
    </xf>
    <xf numFmtId="0" fontId="29" fillId="0" borderId="13" xfId="0" applyNumberFormat="1" applyFont="1" applyFill="1" applyBorder="1" applyAlignment="1" applyProtection="1">
      <alignment horizontal="left" vertical="center"/>
    </xf>
    <xf numFmtId="0" fontId="30" fillId="0" borderId="10" xfId="0" applyNumberFormat="1" applyFont="1" applyFill="1" applyBorder="1" applyAlignment="1" applyProtection="1">
      <alignment horizontal="left"/>
    </xf>
    <xf numFmtId="0" fontId="30" fillId="0" borderId="14" xfId="0" applyNumberFormat="1" applyFont="1" applyFill="1" applyBorder="1" applyAlignment="1" applyProtection="1">
      <alignment horizontal="left"/>
    </xf>
    <xf numFmtId="0" fontId="30" fillId="0" borderId="13" xfId="0" applyNumberFormat="1" applyFont="1" applyFill="1" applyBorder="1" applyAlignment="1" applyProtection="1">
      <alignment horizontal="left"/>
    </xf>
    <xf numFmtId="0" fontId="29" fillId="0" borderId="10" xfId="0" applyNumberFormat="1" applyFont="1" applyFill="1" applyBorder="1" applyAlignment="1" applyProtection="1">
      <alignment horizontal="left"/>
    </xf>
    <xf numFmtId="0" fontId="29" fillId="0" borderId="14" xfId="0" applyNumberFormat="1" applyFont="1" applyFill="1" applyBorder="1" applyAlignment="1" applyProtection="1">
      <alignment horizontal="left"/>
    </xf>
    <xf numFmtId="0" fontId="29" fillId="0" borderId="13" xfId="0" applyNumberFormat="1" applyFont="1" applyFill="1" applyBorder="1" applyAlignment="1" applyProtection="1">
      <alignment horizontal="left"/>
    </xf>
    <xf numFmtId="0" fontId="29" fillId="0" borderId="19" xfId="0" applyNumberFormat="1" applyFont="1" applyFill="1" applyBorder="1" applyAlignment="1" applyProtection="1">
      <alignment horizontal="center"/>
    </xf>
    <xf numFmtId="0" fontId="29" fillId="0" borderId="20" xfId="0" applyNumberFormat="1" applyFont="1" applyFill="1" applyBorder="1" applyAlignment="1" applyProtection="1">
      <alignment horizontal="center"/>
    </xf>
    <xf numFmtId="0" fontId="30" fillId="0" borderId="10" xfId="0" applyNumberFormat="1" applyFont="1" applyFill="1" applyBorder="1" applyAlignment="1" applyProtection="1">
      <alignment horizontal="left" wrapText="1"/>
    </xf>
    <xf numFmtId="0" fontId="30" fillId="0" borderId="14" xfId="0" applyNumberFormat="1" applyFont="1" applyFill="1" applyBorder="1" applyAlignment="1" applyProtection="1">
      <alignment horizontal="left" wrapText="1"/>
    </xf>
    <xf numFmtId="0" fontId="30" fillId="0" borderId="13" xfId="0" applyNumberFormat="1" applyFont="1" applyFill="1" applyBorder="1" applyAlignment="1" applyProtection="1">
      <alignment horizontal="left" wrapText="1"/>
    </xf>
    <xf numFmtId="165" fontId="0" fillId="0" borderId="10" xfId="1" applyNumberFormat="1" applyFont="1" applyFill="1" applyBorder="1" applyAlignment="1">
      <alignment horizontal="center" vertical="center"/>
    </xf>
    <xf numFmtId="165" fontId="0" fillId="0" borderId="13" xfId="1" applyNumberFormat="1" applyFont="1" applyFill="1" applyBorder="1" applyAlignment="1">
      <alignment horizontal="center" vertical="center"/>
    </xf>
    <xf numFmtId="166" fontId="8" fillId="0" borderId="31" xfId="0" applyNumberFormat="1" applyFont="1" applyFill="1" applyBorder="1" applyAlignment="1">
      <alignment horizontal="center" vertical="center" wrapText="1"/>
    </xf>
    <xf numFmtId="166" fontId="8" fillId="0" borderId="22" xfId="0" applyNumberFormat="1" applyFont="1" applyFill="1" applyBorder="1" applyAlignment="1">
      <alignment horizontal="center" vertical="center" wrapText="1"/>
    </xf>
    <xf numFmtId="0" fontId="29" fillId="0" borderId="10" xfId="0" applyNumberFormat="1" applyFont="1" applyFill="1" applyBorder="1" applyAlignment="1" applyProtection="1">
      <alignment horizontal="left" vertical="center" wrapText="1"/>
    </xf>
    <xf numFmtId="0" fontId="29" fillId="0" borderId="13" xfId="0" applyNumberFormat="1" applyFont="1" applyFill="1" applyBorder="1" applyAlignment="1" applyProtection="1">
      <alignment horizontal="left" vertical="center" wrapText="1"/>
    </xf>
    <xf numFmtId="0" fontId="8" fillId="0" borderId="31" xfId="0" applyFont="1" applyFill="1" applyBorder="1" applyAlignment="1">
      <alignment horizontal="left"/>
    </xf>
    <xf numFmtId="0" fontId="10" fillId="0" borderId="9" xfId="0" applyFont="1" applyFill="1" applyBorder="1" applyAlignment="1">
      <alignment horizontal="center" vertical="center" wrapText="1"/>
    </xf>
    <xf numFmtId="0" fontId="10" fillId="0" borderId="9" xfId="0" applyFont="1" applyFill="1" applyBorder="1" applyAlignment="1">
      <alignment horizontal="center" wrapText="1"/>
    </xf>
    <xf numFmtId="166" fontId="8" fillId="0" borderId="9" xfId="0" applyNumberFormat="1" applyFont="1" applyFill="1" applyBorder="1" applyAlignment="1">
      <alignment horizontal="center" vertical="center"/>
    </xf>
    <xf numFmtId="0" fontId="29" fillId="0" borderId="10" xfId="0" applyNumberFormat="1" applyFont="1" applyFill="1" applyBorder="1" applyAlignment="1" applyProtection="1">
      <alignment vertical="center"/>
    </xf>
    <xf numFmtId="0" fontId="29" fillId="0" borderId="13" xfId="0" applyNumberFormat="1" applyFont="1" applyFill="1" applyBorder="1" applyAlignment="1" applyProtection="1">
      <alignment vertical="center"/>
    </xf>
    <xf numFmtId="0" fontId="10" fillId="0" borderId="32" xfId="0" applyFont="1" applyFill="1" applyBorder="1" applyAlignment="1">
      <alignment horizontal="center"/>
    </xf>
    <xf numFmtId="0" fontId="10" fillId="0" borderId="27" xfId="0" applyFont="1" applyFill="1" applyBorder="1" applyAlignment="1">
      <alignment horizontal="center"/>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0" fillId="0" borderId="31" xfId="0" applyFont="1" applyFill="1" applyBorder="1" applyAlignment="1">
      <alignment horizontal="left" wrapText="1"/>
    </xf>
    <xf numFmtId="0" fontId="0" fillId="0" borderId="21" xfId="0" applyFont="1" applyFill="1" applyBorder="1" applyAlignment="1">
      <alignment horizontal="left" wrapText="1"/>
    </xf>
    <xf numFmtId="0" fontId="0" fillId="0" borderId="22" xfId="0" applyFont="1" applyFill="1" applyBorder="1" applyAlignment="1">
      <alignment horizontal="left" wrapText="1"/>
    </xf>
    <xf numFmtId="0" fontId="31" fillId="0" borderId="19" xfId="0" applyFont="1" applyFill="1" applyBorder="1" applyAlignment="1">
      <alignment horizontal="left"/>
    </xf>
    <xf numFmtId="0" fontId="4" fillId="0" borderId="1" xfId="0" applyFont="1" applyFill="1" applyBorder="1" applyAlignment="1">
      <alignment horizontal="left"/>
    </xf>
    <xf numFmtId="0" fontId="4" fillId="0" borderId="20" xfId="0" applyFont="1" applyFill="1" applyBorder="1" applyAlignment="1">
      <alignment horizontal="left"/>
    </xf>
    <xf numFmtId="0" fontId="8" fillId="0" borderId="10" xfId="0" applyNumberFormat="1" applyFont="1" applyBorder="1" applyAlignment="1">
      <alignment horizontal="center" vertical="center" wrapText="1"/>
    </xf>
    <xf numFmtId="0" fontId="8" fillId="0" borderId="13" xfId="0" applyNumberFormat="1" applyFont="1" applyBorder="1" applyAlignment="1">
      <alignment horizontal="center" vertical="center" wrapText="1"/>
    </xf>
    <xf numFmtId="0" fontId="0" fillId="0" borderId="35" xfId="0" applyFont="1" applyBorder="1" applyAlignment="1">
      <alignment horizontal="left" vertical="top" wrapText="1"/>
    </xf>
    <xf numFmtId="0" fontId="0" fillId="0" borderId="30" xfId="0" applyFont="1" applyBorder="1" applyAlignment="1">
      <alignment horizontal="left" vertical="top" wrapText="1"/>
    </xf>
    <xf numFmtId="0" fontId="0" fillId="0" borderId="29" xfId="0" applyFont="1" applyBorder="1" applyAlignment="1">
      <alignment horizontal="left" vertical="top" wrapText="1"/>
    </xf>
    <xf numFmtId="0" fontId="8" fillId="0" borderId="33" xfId="0" applyFont="1" applyFill="1" applyBorder="1" applyAlignment="1">
      <alignment horizontal="left"/>
    </xf>
    <xf numFmtId="0" fontId="8" fillId="0" borderId="38" xfId="0" applyFont="1" applyFill="1" applyBorder="1" applyAlignment="1">
      <alignment horizontal="left"/>
    </xf>
    <xf numFmtId="0" fontId="8" fillId="0" borderId="34" xfId="0" applyFont="1" applyFill="1" applyBorder="1" applyAlignment="1">
      <alignment horizontal="left"/>
    </xf>
    <xf numFmtId="0" fontId="10" fillId="0" borderId="31" xfId="0" applyFont="1" applyFill="1" applyBorder="1" applyAlignment="1">
      <alignment horizontal="center"/>
    </xf>
    <xf numFmtId="0" fontId="10" fillId="0" borderId="22" xfId="0" applyFont="1" applyFill="1" applyBorder="1" applyAlignment="1">
      <alignment horizontal="center"/>
    </xf>
    <xf numFmtId="0" fontId="8" fillId="0" borderId="10" xfId="0" quotePrefix="1" applyFont="1" applyFill="1" applyBorder="1" applyAlignment="1">
      <alignment horizontal="left"/>
    </xf>
    <xf numFmtId="0" fontId="0" fillId="0" borderId="33" xfId="0" applyFont="1" applyFill="1" applyBorder="1" applyAlignment="1">
      <alignment horizontal="left" vertical="top" wrapText="1"/>
    </xf>
    <xf numFmtId="0" fontId="0" fillId="0" borderId="38" xfId="0" applyFont="1" applyFill="1" applyBorder="1" applyAlignment="1">
      <alignment horizontal="left" vertical="top" wrapText="1"/>
    </xf>
    <xf numFmtId="0" fontId="0" fillId="0" borderId="34" xfId="0" applyFont="1" applyFill="1" applyBorder="1" applyAlignment="1">
      <alignment horizontal="left" vertical="top" wrapText="1"/>
    </xf>
    <xf numFmtId="0" fontId="10" fillId="0" borderId="3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4" fillId="0" borderId="10" xfId="0" applyFont="1" applyBorder="1" applyAlignment="1">
      <alignment horizontal="left" vertical="center"/>
    </xf>
    <xf numFmtId="0" fontId="4" fillId="0" borderId="13" xfId="0" applyFont="1" applyBorder="1" applyAlignment="1">
      <alignment horizontal="left" vertical="center"/>
    </xf>
    <xf numFmtId="0" fontId="0" fillId="0" borderId="32" xfId="0" applyFont="1" applyBorder="1" applyAlignment="1">
      <alignment horizontal="left" vertical="top" wrapText="1"/>
    </xf>
    <xf numFmtId="0" fontId="0" fillId="0" borderId="0" xfId="0" applyFont="1" applyBorder="1" applyAlignment="1">
      <alignment horizontal="left" vertical="top" wrapText="1"/>
    </xf>
    <xf numFmtId="0" fontId="0" fillId="0" borderId="27" xfId="0" applyFont="1" applyBorder="1" applyAlignment="1">
      <alignment horizontal="left" vertical="top" wrapText="1"/>
    </xf>
    <xf numFmtId="0" fontId="8" fillId="0" borderId="10"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0" fontId="8" fillId="0" borderId="31"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0" fillId="0" borderId="33" xfId="0" applyFont="1" applyBorder="1" applyAlignment="1">
      <alignment horizontal="left" wrapText="1"/>
    </xf>
    <xf numFmtId="0" fontId="0" fillId="0" borderId="38" xfId="0" applyFont="1" applyBorder="1" applyAlignment="1">
      <alignment horizontal="left" wrapText="1"/>
    </xf>
    <xf numFmtId="0" fontId="0" fillId="0" borderId="34" xfId="0" applyFont="1" applyBorder="1" applyAlignment="1">
      <alignment horizontal="left" wrapText="1"/>
    </xf>
    <xf numFmtId="0" fontId="4" fillId="0" borderId="14" xfId="0" applyFont="1" applyFill="1" applyBorder="1" applyAlignment="1">
      <alignment horizontal="left"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9" xfId="0" applyFont="1" applyBorder="1" applyAlignment="1">
      <alignment horizontal="left"/>
    </xf>
    <xf numFmtId="0" fontId="8" fillId="0" borderId="31"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0" fontId="8" fillId="0" borderId="29" xfId="0" applyFont="1" applyBorder="1" applyAlignment="1">
      <alignment horizontal="left" vertical="center" wrapText="1"/>
    </xf>
    <xf numFmtId="0" fontId="4" fillId="0" borderId="10" xfId="0" applyFont="1" applyBorder="1" applyAlignment="1">
      <alignment horizontal="left" wrapText="1"/>
    </xf>
    <xf numFmtId="0" fontId="4" fillId="0" borderId="14" xfId="0" applyFont="1" applyBorder="1" applyAlignment="1">
      <alignment horizontal="left" wrapText="1"/>
    </xf>
    <xf numFmtId="0" fontId="4" fillId="0" borderId="13" xfId="0" applyFont="1" applyBorder="1" applyAlignment="1">
      <alignment horizontal="left" wrapText="1"/>
    </xf>
    <xf numFmtId="0" fontId="4" fillId="0" borderId="19" xfId="0" applyFont="1" applyFill="1" applyBorder="1" applyAlignment="1">
      <alignment horizontal="center" wrapText="1"/>
    </xf>
    <xf numFmtId="0" fontId="4" fillId="0" borderId="20" xfId="0" applyFont="1" applyFill="1" applyBorder="1" applyAlignment="1">
      <alignment horizontal="center" wrapText="1"/>
    </xf>
    <xf numFmtId="0" fontId="10" fillId="0" borderId="9" xfId="0" applyFont="1" applyBorder="1" applyAlignment="1">
      <alignment horizontal="left" vertical="center" wrapText="1"/>
    </xf>
    <xf numFmtId="0" fontId="8" fillId="0" borderId="10" xfId="0" quotePrefix="1" applyFont="1" applyBorder="1" applyAlignment="1">
      <alignment horizontal="left" vertical="center" wrapText="1"/>
    </xf>
    <xf numFmtId="0" fontId="0" fillId="0" borderId="10" xfId="0" quotePrefix="1" applyFont="1" applyBorder="1" applyAlignment="1"/>
    <xf numFmtId="0" fontId="10" fillId="4" borderId="14"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0" fillId="0" borderId="14" xfId="0" applyFont="1" applyFill="1" applyBorder="1" applyAlignment="1">
      <alignment horizontal="center"/>
    </xf>
    <xf numFmtId="2" fontId="8" fillId="0" borderId="10" xfId="0" applyNumberFormat="1" applyFont="1" applyFill="1" applyBorder="1" applyAlignment="1">
      <alignment horizontal="center" wrapText="1"/>
    </xf>
    <xf numFmtId="2" fontId="8" fillId="0" borderId="13" xfId="0" applyNumberFormat="1" applyFont="1" applyFill="1" applyBorder="1" applyAlignment="1">
      <alignment horizontal="center" wrapText="1"/>
    </xf>
    <xf numFmtId="0" fontId="10" fillId="0" borderId="23" xfId="0" applyFont="1" applyFill="1" applyBorder="1" applyAlignment="1">
      <alignment horizontal="center"/>
    </xf>
    <xf numFmtId="0" fontId="31" fillId="0" borderId="10" xfId="0" applyFont="1" applyFill="1" applyBorder="1" applyAlignment="1"/>
    <xf numFmtId="0" fontId="31" fillId="0" borderId="14" xfId="0" applyFont="1" applyFill="1" applyBorder="1" applyAlignment="1"/>
    <xf numFmtId="0" fontId="31" fillId="0" borderId="13" xfId="0" applyFont="1" applyFill="1" applyBorder="1" applyAlignment="1"/>
    <xf numFmtId="0" fontId="8" fillId="0" borderId="31"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10" fillId="0" borderId="19" xfId="0" applyFont="1" applyFill="1" applyBorder="1" applyAlignment="1">
      <alignment vertical="center"/>
    </xf>
    <xf numFmtId="0" fontId="10" fillId="0" borderId="20" xfId="0" applyFont="1" applyFill="1" applyBorder="1" applyAlignment="1">
      <alignment vertical="center"/>
    </xf>
    <xf numFmtId="0" fontId="19" fillId="0" borderId="10" xfId="0" applyFont="1" applyBorder="1" applyAlignment="1">
      <alignment horizontal="left"/>
    </xf>
    <xf numFmtId="0" fontId="19" fillId="0" borderId="14" xfId="0" applyFont="1" applyBorder="1" applyAlignment="1">
      <alignment horizontal="left"/>
    </xf>
    <xf numFmtId="0" fontId="19" fillId="0" borderId="13" xfId="0" applyFont="1" applyBorder="1" applyAlignment="1">
      <alignment horizontal="left"/>
    </xf>
    <xf numFmtId="0" fontId="4" fillId="0" borderId="2"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32" fillId="0" borderId="4" xfId="6" applyFont="1" applyBorder="1" applyAlignment="1">
      <alignment horizontal="left" vertical="center" wrapText="1"/>
    </xf>
    <xf numFmtId="0" fontId="32" fillId="0" borderId="5" xfId="6" applyFont="1" applyBorder="1" applyAlignment="1">
      <alignment horizontal="left" vertical="center" wrapText="1"/>
    </xf>
    <xf numFmtId="0" fontId="32" fillId="0" borderId="6" xfId="6" applyFont="1" applyBorder="1" applyAlignment="1">
      <alignment horizontal="left" vertical="center" wrapText="1"/>
    </xf>
    <xf numFmtId="0" fontId="10" fillId="0" borderId="40"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7" xfId="0" applyFont="1" applyBorder="1" applyAlignment="1">
      <alignment horizontal="left" vertical="top" wrapText="1"/>
    </xf>
    <xf numFmtId="0" fontId="8" fillId="0" borderId="12" xfId="0" applyFont="1" applyBorder="1" applyAlignment="1">
      <alignment horizontal="left" vertical="top" wrapText="1"/>
    </xf>
    <xf numFmtId="0" fontId="43" fillId="0" borderId="40" xfId="0" applyFont="1" applyBorder="1" applyAlignment="1">
      <alignment horizontal="left"/>
    </xf>
    <xf numFmtId="0" fontId="43" fillId="0" borderId="2" xfId="0" applyFont="1" applyBorder="1" applyAlignment="1">
      <alignment horizontal="left"/>
    </xf>
    <xf numFmtId="0" fontId="43" fillId="0" borderId="3" xfId="0" applyFont="1" applyBorder="1" applyAlignment="1">
      <alignment horizontal="left"/>
    </xf>
    <xf numFmtId="0" fontId="32" fillId="0" borderId="43" xfId="6" applyFont="1" applyBorder="1" applyAlignment="1">
      <alignment horizontal="left" vertical="center" wrapText="1"/>
    </xf>
    <xf numFmtId="0" fontId="32" fillId="0" borderId="8" xfId="6" applyFont="1" applyBorder="1" applyAlignment="1">
      <alignment horizontal="left" vertical="center" wrapText="1"/>
    </xf>
    <xf numFmtId="0" fontId="32" fillId="0" borderId="11" xfId="6" applyFont="1" applyBorder="1" applyAlignment="1">
      <alignment horizontal="left" vertical="center" wrapText="1"/>
    </xf>
    <xf numFmtId="0" fontId="32" fillId="0" borderId="7" xfId="6" applyFont="1" applyBorder="1" applyAlignment="1">
      <alignment horizontal="left" vertical="center" wrapText="1"/>
    </xf>
    <xf numFmtId="0" fontId="32" fillId="0" borderId="9" xfId="6" applyFont="1" applyBorder="1" applyAlignment="1">
      <alignment horizontal="left" vertical="center" wrapText="1"/>
    </xf>
    <xf numFmtId="0" fontId="32" fillId="0" borderId="12" xfId="6" applyFont="1" applyBorder="1" applyAlignment="1">
      <alignment horizontal="left" vertical="center" wrapText="1"/>
    </xf>
    <xf numFmtId="0" fontId="0" fillId="0" borderId="0" xfId="0" applyAlignment="1">
      <alignment horizontal="left" wrapText="1"/>
    </xf>
    <xf numFmtId="0" fontId="33" fillId="6" borderId="9"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4" fillId="6" borderId="36" xfId="0" applyFont="1" applyFill="1" applyBorder="1" applyAlignment="1">
      <alignment horizontal="center"/>
    </xf>
    <xf numFmtId="0" fontId="34" fillId="6" borderId="24" xfId="0" applyFont="1" applyFill="1" applyBorder="1" applyAlignment="1">
      <alignment horizontal="center"/>
    </xf>
    <xf numFmtId="0" fontId="34" fillId="6" borderId="25" xfId="0" applyFont="1" applyFill="1" applyBorder="1" applyAlignment="1">
      <alignment horizontal="center"/>
    </xf>
    <xf numFmtId="0" fontId="34" fillId="6" borderId="40" xfId="0" applyFont="1" applyFill="1" applyBorder="1" applyAlignment="1">
      <alignment horizontal="center"/>
    </xf>
    <xf numFmtId="0" fontId="34" fillId="6" borderId="2" xfId="0" applyFont="1" applyFill="1" applyBorder="1" applyAlignment="1">
      <alignment horizontal="center"/>
    </xf>
    <xf numFmtId="0" fontId="34" fillId="6" borderId="37" xfId="0" applyFont="1" applyFill="1" applyBorder="1" applyAlignment="1">
      <alignment horizontal="center"/>
    </xf>
    <xf numFmtId="0" fontId="0" fillId="0" borderId="0" xfId="0" applyAlignment="1">
      <alignment wrapText="1"/>
    </xf>
    <xf numFmtId="0" fontId="37" fillId="0" borderId="0" xfId="0" applyFont="1" applyBorder="1" applyAlignment="1">
      <alignment horizontal="left" vertical="center" wrapText="1"/>
    </xf>
    <xf numFmtId="0" fontId="0" fillId="0" borderId="9" xfId="0" applyFill="1" applyBorder="1" applyAlignment="1">
      <alignment horizontal="left" vertical="top" wrapText="1"/>
    </xf>
    <xf numFmtId="0" fontId="0" fillId="0" borderId="9" xfId="0" applyBorder="1" applyAlignment="1">
      <alignment horizontal="left" vertical="top" wrapText="1"/>
    </xf>
    <xf numFmtId="0" fontId="0" fillId="0" borderId="9" xfId="0" applyBorder="1" applyAlignment="1">
      <alignment horizontal="left" vertical="top"/>
    </xf>
    <xf numFmtId="0" fontId="33" fillId="0" borderId="16" xfId="0" applyFont="1" applyBorder="1" applyAlignment="1">
      <alignment horizontal="center" vertical="center"/>
    </xf>
    <xf numFmtId="0" fontId="33" fillId="0" borderId="17" xfId="0" applyFont="1" applyBorder="1" applyAlignment="1">
      <alignment horizontal="center" vertical="center"/>
    </xf>
    <xf numFmtId="0" fontId="33" fillId="0" borderId="18" xfId="0" applyFont="1" applyBorder="1" applyAlignment="1">
      <alignment horizontal="center" vertical="center"/>
    </xf>
    <xf numFmtId="1" fontId="8" fillId="6" borderId="10" xfId="0" applyNumberFormat="1" applyFont="1" applyFill="1" applyBorder="1" applyAlignment="1">
      <alignment horizontal="center"/>
    </xf>
    <xf numFmtId="1" fontId="8" fillId="6" borderId="14" xfId="0" applyNumberFormat="1" applyFont="1" applyFill="1" applyBorder="1" applyAlignment="1">
      <alignment horizontal="center"/>
    </xf>
    <xf numFmtId="1" fontId="8" fillId="6" borderId="13" xfId="0" applyNumberFormat="1" applyFont="1" applyFill="1" applyBorder="1" applyAlignment="1">
      <alignment horizontal="center"/>
    </xf>
    <xf numFmtId="0" fontId="34" fillId="8" borderId="9" xfId="0" applyFont="1" applyFill="1" applyBorder="1" applyAlignment="1">
      <alignment horizontal="center" wrapText="1"/>
    </xf>
    <xf numFmtId="0" fontId="0" fillId="0" borderId="0" xfId="0" applyFill="1" applyAlignment="1">
      <alignment horizontal="left" wrapText="1"/>
    </xf>
    <xf numFmtId="0" fontId="34" fillId="6" borderId="9" xfId="0" applyFont="1" applyFill="1" applyBorder="1" applyAlignment="1">
      <alignment horizontal="center" wrapText="1"/>
    </xf>
  </cellXfs>
  <cellStyles count="9">
    <cellStyle name="Comma" xfId="1" builtinId="3"/>
    <cellStyle name="Currency" xfId="2" builtinId="4"/>
    <cellStyle name="Hyperlink" xfId="7" builtinId="8"/>
    <cellStyle name="Normal" xfId="0" builtinId="0"/>
    <cellStyle name="Normal 6 3" xfId="6" xr:uid="{EEFDF5E3-7061-4BE1-A655-5E9B39C5B10B}"/>
    <cellStyle name="Normal_cost factors v5" xfId="4" xr:uid="{7DE4B25D-8254-423C-B276-300477A49D35}"/>
    <cellStyle name="Normal_Sheet1" xfId="5" xr:uid="{C12D5376-4B34-4422-BC83-08AA842FF15D}"/>
    <cellStyle name="Normal_Sheet1 2" xfId="8" xr:uid="{1992F5BA-73BF-4F83-A45A-331E6AB74877}"/>
    <cellStyle name="Percent" xfId="3" builtinId="5"/>
  </cellStyles>
  <dxfs count="1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345</xdr:row>
          <xdr:rowOff>152400</xdr:rowOff>
        </xdr:from>
        <xdr:to>
          <xdr:col>1</xdr:col>
          <xdr:colOff>152400</xdr:colOff>
          <xdr:row>347</xdr:row>
          <xdr:rowOff>241300</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354</xdr:row>
          <xdr:rowOff>152400</xdr:rowOff>
        </xdr:from>
        <xdr:to>
          <xdr:col>1</xdr:col>
          <xdr:colOff>152400</xdr:colOff>
          <xdr:row>356</xdr:row>
          <xdr:rowOff>241300</xdr:rowOff>
        </xdr:to>
        <xdr:sp macro="" textlink="">
          <xdr:nvSpPr>
            <xdr:cNvPr id="3074" name="Object 2" descr="FAC 1511 Study"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115532</xdr:colOff>
      <xdr:row>132</xdr:row>
      <xdr:rowOff>76421</xdr:rowOff>
    </xdr:from>
    <xdr:to>
      <xdr:col>11</xdr:col>
      <xdr:colOff>66545</xdr:colOff>
      <xdr:row>132</xdr:row>
      <xdr:rowOff>3597975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15532" y="52273421"/>
          <a:ext cx="12877799" cy="3521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139700</xdr:colOff>
          <xdr:row>1299</xdr:row>
          <xdr:rowOff>292100</xdr:rowOff>
        </xdr:from>
        <xdr:to>
          <xdr:col>1</xdr:col>
          <xdr:colOff>101600</xdr:colOff>
          <xdr:row>1301</xdr:row>
          <xdr:rowOff>215900</xdr:rowOff>
        </xdr:to>
        <xdr:sp macro="" textlink="">
          <xdr:nvSpPr>
            <xdr:cNvPr id="3080" name="Object 8" descr="FAC 2131 RUC _FY2011 CNIC Study"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520700</xdr:colOff>
          <xdr:row>4415</xdr:row>
          <xdr:rowOff>50800</xdr:rowOff>
        </xdr:from>
        <xdr:to>
          <xdr:col>3</xdr:col>
          <xdr:colOff>800100</xdr:colOff>
          <xdr:row>4416</xdr:row>
          <xdr:rowOff>355600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130841</xdr:colOff>
      <xdr:row>54</xdr:row>
      <xdr:rowOff>104774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8055641" cy="10391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8</xdr:row>
          <xdr:rowOff>63500</xdr:rowOff>
        </xdr:from>
        <xdr:to>
          <xdr:col>0</xdr:col>
          <xdr:colOff>1295400</xdr:colOff>
          <xdr:row>8</xdr:row>
          <xdr:rowOff>749300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farzt/Desktop/FSM/FSM%20v20/2018%20RUCs/FY%2017%20RUC%20Documentation/FY17%20RUC%20Supporting%20Documentation%20as%20of%2012%20Jun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R&amp;K/RUC%20Documentation%202016/Elevator%20Business%20R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Calculations FY17v19"/>
      <sheetName val="MCP Inflation Table"/>
      <sheetName val="Mil Cost Premiums for RUCs"/>
      <sheetName val="M&amp;S Selection Business Rule"/>
      <sheetName val="Elevator Business Rule"/>
      <sheetName val="Overhead Crane Business Rule"/>
      <sheetName val="Fire Sprinkler Business Rule"/>
      <sheetName val="Loading Dock Footnote"/>
      <sheetName val="Range Business Rules"/>
    </sheetNames>
    <sheetDataSet>
      <sheetData sheetId="0"/>
      <sheetData sheetId="1"/>
      <sheetData sheetId="2">
        <row r="4">
          <cell r="A4">
            <v>1321</v>
          </cell>
          <cell r="B4" t="str">
            <v>COMMUNICATIONS FACILITY</v>
          </cell>
          <cell r="C4" t="str">
            <v>EA</v>
          </cell>
          <cell r="D4" t="str">
            <v>S</v>
          </cell>
          <cell r="E4"/>
          <cell r="F4">
            <v>1.0209999999999999</v>
          </cell>
          <cell r="G4"/>
          <cell r="H4"/>
          <cell r="I4"/>
          <cell r="J4"/>
          <cell r="K4"/>
          <cell r="L4"/>
          <cell r="M4"/>
          <cell r="N4"/>
          <cell r="O4"/>
          <cell r="P4"/>
          <cell r="Q4"/>
          <cell r="R4">
            <v>1.0209999999999999</v>
          </cell>
        </row>
        <row r="5">
          <cell r="A5">
            <v>1341</v>
          </cell>
          <cell r="B5" t="str">
            <v>AIRCRAFT NAVIGATION FACILITY</v>
          </cell>
          <cell r="C5" t="str">
            <v>EA</v>
          </cell>
          <cell r="D5" t="str">
            <v>S</v>
          </cell>
          <cell r="E5"/>
          <cell r="F5">
            <v>1.0209999999999999</v>
          </cell>
          <cell r="G5"/>
          <cell r="H5"/>
          <cell r="I5"/>
          <cell r="J5"/>
          <cell r="K5"/>
          <cell r="L5"/>
          <cell r="M5"/>
          <cell r="N5"/>
          <cell r="O5"/>
          <cell r="P5"/>
          <cell r="Q5"/>
          <cell r="R5">
            <v>1.0209999999999999</v>
          </cell>
        </row>
        <row r="6">
          <cell r="A6">
            <v>1351</v>
          </cell>
          <cell r="B6" t="str">
            <v>COMMUNICATION LINES</v>
          </cell>
          <cell r="C6" t="str">
            <v>MI</v>
          </cell>
          <cell r="D6" t="str">
            <v>LS</v>
          </cell>
          <cell r="E6"/>
          <cell r="F6">
            <v>1.0209999999999999</v>
          </cell>
          <cell r="G6"/>
          <cell r="H6"/>
          <cell r="I6"/>
          <cell r="J6"/>
          <cell r="K6"/>
          <cell r="L6"/>
          <cell r="M6"/>
          <cell r="N6"/>
          <cell r="O6"/>
          <cell r="P6"/>
          <cell r="Q6"/>
          <cell r="R6">
            <v>1.0209999999999999</v>
          </cell>
        </row>
        <row r="7">
          <cell r="A7">
            <v>1362</v>
          </cell>
          <cell r="B7" t="str">
            <v>AIRFIELD LIGHTING</v>
          </cell>
          <cell r="C7" t="str">
            <v>EA</v>
          </cell>
          <cell r="D7" t="str">
            <v>S</v>
          </cell>
          <cell r="E7"/>
          <cell r="F7">
            <v>1.0209999999999999</v>
          </cell>
          <cell r="G7"/>
          <cell r="H7"/>
          <cell r="I7"/>
          <cell r="J7"/>
          <cell r="K7"/>
          <cell r="L7"/>
          <cell r="M7"/>
          <cell r="N7"/>
          <cell r="O7"/>
          <cell r="P7"/>
          <cell r="Q7"/>
          <cell r="R7">
            <v>1.0209999999999999</v>
          </cell>
        </row>
        <row r="8">
          <cell r="A8">
            <v>1381</v>
          </cell>
          <cell r="B8" t="str">
            <v>SHIP NAVIGATION FACILITY</v>
          </cell>
          <cell r="C8" t="str">
            <v>EA</v>
          </cell>
          <cell r="D8" t="str">
            <v>S</v>
          </cell>
          <cell r="E8"/>
          <cell r="F8">
            <v>1.0209999999999999</v>
          </cell>
          <cell r="G8"/>
          <cell r="H8"/>
          <cell r="I8"/>
          <cell r="J8"/>
          <cell r="K8"/>
          <cell r="L8"/>
          <cell r="M8"/>
          <cell r="N8"/>
          <cell r="O8"/>
          <cell r="P8"/>
          <cell r="Q8"/>
          <cell r="R8">
            <v>1.0209999999999999</v>
          </cell>
        </row>
        <row r="9">
          <cell r="A9">
            <v>1422</v>
          </cell>
          <cell r="B9" t="str">
            <v>HELIUM STORAGE FACILITY</v>
          </cell>
          <cell r="C9" t="str">
            <v>EA</v>
          </cell>
          <cell r="D9" t="str">
            <v>S</v>
          </cell>
          <cell r="E9"/>
          <cell r="F9">
            <v>1.0209999999999999</v>
          </cell>
          <cell r="G9"/>
          <cell r="H9"/>
          <cell r="I9"/>
          <cell r="J9"/>
          <cell r="K9"/>
          <cell r="L9"/>
          <cell r="M9"/>
          <cell r="N9"/>
          <cell r="O9"/>
          <cell r="P9"/>
          <cell r="Q9"/>
          <cell r="R9">
            <v>1.0209999999999999</v>
          </cell>
        </row>
        <row r="10">
          <cell r="A10">
            <v>1431</v>
          </cell>
          <cell r="B10" t="str">
            <v>SHIP OPERATIONS BUILDING</v>
          </cell>
          <cell r="C10" t="str">
            <v>SF</v>
          </cell>
          <cell r="D10" t="str">
            <v>B</v>
          </cell>
          <cell r="E10">
            <v>1.0740000000000001</v>
          </cell>
          <cell r="F10">
            <v>1.0209999999999999</v>
          </cell>
          <cell r="G10">
            <v>1.0269999999999999</v>
          </cell>
          <cell r="H10">
            <v>1.0029999999999999</v>
          </cell>
          <cell r="I10">
            <v>1.0289999999999999</v>
          </cell>
          <cell r="J10">
            <v>1.0049999999999999</v>
          </cell>
          <cell r="K10">
            <v>1.026</v>
          </cell>
          <cell r="L10">
            <v>1.0129999999999999</v>
          </cell>
          <cell r="M10">
            <v>1.0029999999999999</v>
          </cell>
          <cell r="N10">
            <v>1.0029999999999999</v>
          </cell>
          <cell r="O10">
            <v>1.0209999999999999</v>
          </cell>
          <cell r="P10">
            <v>1.032</v>
          </cell>
          <cell r="Q10">
            <v>1.0349999999999999</v>
          </cell>
          <cell r="R10">
            <v>1.3319480854780448</v>
          </cell>
        </row>
        <row r="11">
          <cell r="A11">
            <v>1441</v>
          </cell>
          <cell r="B11" t="str">
            <v>PHOTO/TV PRODUCTION BUILDING</v>
          </cell>
          <cell r="C11" t="str">
            <v>SF</v>
          </cell>
          <cell r="D11" t="str">
            <v>B</v>
          </cell>
          <cell r="E11">
            <v>1.0740000000000001</v>
          </cell>
          <cell r="F11">
            <v>1.0209999999999999</v>
          </cell>
          <cell r="G11">
            <v>1.0269999999999999</v>
          </cell>
          <cell r="H11">
            <v>1.0029999999999999</v>
          </cell>
          <cell r="I11">
            <v>1.0289999999999999</v>
          </cell>
          <cell r="J11">
            <v>1.0049999999999999</v>
          </cell>
          <cell r="K11">
            <v>1.026</v>
          </cell>
          <cell r="L11">
            <v>1.0129999999999999</v>
          </cell>
          <cell r="M11">
            <v>1.0029999999999999</v>
          </cell>
          <cell r="N11">
            <v>1.0029999999999999</v>
          </cell>
          <cell r="O11">
            <v>1.0209999999999999</v>
          </cell>
          <cell r="P11">
            <v>1.032</v>
          </cell>
          <cell r="Q11">
            <v>1.0349999999999999</v>
          </cell>
          <cell r="R11">
            <v>1.3319480854780448</v>
          </cell>
        </row>
        <row r="12">
          <cell r="A12">
            <v>1442</v>
          </cell>
          <cell r="B12" t="str">
            <v>OPERATIONS SUPPORT LAB</v>
          </cell>
          <cell r="C12" t="str">
            <v>SF</v>
          </cell>
          <cell r="D12" t="str">
            <v>B</v>
          </cell>
          <cell r="E12">
            <v>1.0740000000000001</v>
          </cell>
          <cell r="F12">
            <v>1.0209999999999999</v>
          </cell>
          <cell r="G12">
            <v>1.0269999999999999</v>
          </cell>
          <cell r="H12">
            <v>1.0029999999999999</v>
          </cell>
          <cell r="I12">
            <v>1.0289999999999999</v>
          </cell>
          <cell r="J12">
            <v>1.0049999999999999</v>
          </cell>
          <cell r="K12">
            <v>1.026</v>
          </cell>
          <cell r="L12">
            <v>1.0129999999999999</v>
          </cell>
          <cell r="M12">
            <v>1.0029999999999999</v>
          </cell>
          <cell r="N12">
            <v>1.0029999999999999</v>
          </cell>
          <cell r="O12">
            <v>1.0209999999999999</v>
          </cell>
          <cell r="P12">
            <v>1.032</v>
          </cell>
          <cell r="Q12">
            <v>1.0349999999999999</v>
          </cell>
          <cell r="R12">
            <v>1.3319480854780448</v>
          </cell>
        </row>
        <row r="13">
          <cell r="A13">
            <v>1443</v>
          </cell>
          <cell r="B13" t="str">
            <v>OPERATIONS SUPPLY BUILDING</v>
          </cell>
          <cell r="C13" t="str">
            <v>SF</v>
          </cell>
          <cell r="D13" t="str">
            <v>B</v>
          </cell>
          <cell r="E13">
            <v>1.0740000000000001</v>
          </cell>
          <cell r="F13">
            <v>1.0209999999999999</v>
          </cell>
          <cell r="G13">
            <v>1.0269999999999999</v>
          </cell>
          <cell r="H13">
            <v>1.0029999999999999</v>
          </cell>
          <cell r="I13">
            <v>1.0289999999999999</v>
          </cell>
          <cell r="J13">
            <v>1.0049999999999999</v>
          </cell>
          <cell r="K13"/>
          <cell r="L13"/>
          <cell r="M13">
            <v>1.0029999999999999</v>
          </cell>
          <cell r="N13">
            <v>1.0029999999999999</v>
          </cell>
          <cell r="O13"/>
          <cell r="P13">
            <v>1.032</v>
          </cell>
          <cell r="Q13">
            <v>1.0349999999999999</v>
          </cell>
          <cell r="R13">
            <v>1.2551763558420395</v>
          </cell>
        </row>
        <row r="14">
          <cell r="A14">
            <v>1446</v>
          </cell>
          <cell r="B14" t="str">
            <v>SECURITY FORCE BUILDING</v>
          </cell>
          <cell r="C14" t="str">
            <v>SF</v>
          </cell>
          <cell r="D14" t="str">
            <v>B</v>
          </cell>
          <cell r="E14">
            <v>1.0740000000000001</v>
          </cell>
          <cell r="F14">
            <v>1.0209999999999999</v>
          </cell>
          <cell r="G14">
            <v>1.0269999999999999</v>
          </cell>
          <cell r="H14"/>
          <cell r="I14">
            <v>1.0289999999999999</v>
          </cell>
          <cell r="J14">
            <v>1.0049999999999999</v>
          </cell>
          <cell r="K14">
            <v>1.026</v>
          </cell>
          <cell r="L14">
            <v>1.0129999999999999</v>
          </cell>
          <cell r="M14">
            <v>1.0029999999999999</v>
          </cell>
          <cell r="N14">
            <v>1.0029999999999999</v>
          </cell>
          <cell r="O14">
            <v>1.0209999999999999</v>
          </cell>
          <cell r="P14">
            <v>1.032</v>
          </cell>
          <cell r="Q14">
            <v>1.0349999999999999</v>
          </cell>
          <cell r="R14">
            <v>1.3279641928993471</v>
          </cell>
        </row>
        <row r="15">
          <cell r="A15">
            <v>1491</v>
          </cell>
          <cell r="B15" t="str">
            <v>NUCLEAR WEAPONS SUPPORT FACILITY</v>
          </cell>
          <cell r="C15" t="str">
            <v>EA</v>
          </cell>
          <cell r="D15" t="str">
            <v>S</v>
          </cell>
          <cell r="E15">
            <v>1.0740000000000001</v>
          </cell>
          <cell r="F15">
            <v>1.0209999999999999</v>
          </cell>
          <cell r="G15">
            <v>1.0269999999999999</v>
          </cell>
          <cell r="H15"/>
          <cell r="I15"/>
          <cell r="J15"/>
          <cell r="K15"/>
          <cell r="L15"/>
          <cell r="M15"/>
          <cell r="N15"/>
          <cell r="O15">
            <v>1.0209999999999999</v>
          </cell>
          <cell r="P15">
            <v>1.032</v>
          </cell>
          <cell r="Q15">
            <v>1.0349999999999999</v>
          </cell>
          <cell r="R15">
            <v>1.2281354183505979</v>
          </cell>
        </row>
        <row r="16">
          <cell r="A16">
            <v>1493</v>
          </cell>
          <cell r="B16" t="str">
            <v>EXPLOSIVES RAILWAY HOLDING YARD</v>
          </cell>
          <cell r="C16" t="str">
            <v>EA</v>
          </cell>
          <cell r="D16" t="str">
            <v>S</v>
          </cell>
          <cell r="E16"/>
          <cell r="F16">
            <v>1.0209999999999999</v>
          </cell>
          <cell r="G16">
            <v>1.0269999999999999</v>
          </cell>
          <cell r="H16"/>
          <cell r="I16"/>
          <cell r="J16"/>
          <cell r="K16"/>
          <cell r="L16"/>
          <cell r="M16"/>
          <cell r="N16"/>
          <cell r="O16"/>
          <cell r="P16">
            <v>1.032</v>
          </cell>
          <cell r="Q16">
            <v>1.0349999999999999</v>
          </cell>
          <cell r="R16">
            <v>1.1199953840399997</v>
          </cell>
        </row>
        <row r="17">
          <cell r="A17">
            <v>1495</v>
          </cell>
          <cell r="B17" t="str">
            <v>REVETMENT</v>
          </cell>
          <cell r="C17" t="str">
            <v>EA</v>
          </cell>
          <cell r="D17" t="str">
            <v>S</v>
          </cell>
          <cell r="E17"/>
          <cell r="F17">
            <v>1.0209999999999999</v>
          </cell>
          <cell r="G17"/>
          <cell r="H17"/>
          <cell r="I17"/>
          <cell r="J17"/>
          <cell r="K17"/>
          <cell r="L17"/>
          <cell r="M17"/>
          <cell r="N17"/>
          <cell r="O17"/>
          <cell r="P17"/>
          <cell r="Q17"/>
          <cell r="R17">
            <v>1.0209999999999999</v>
          </cell>
        </row>
        <row r="18">
          <cell r="A18">
            <v>1513</v>
          </cell>
          <cell r="B18" t="str">
            <v>PIER/WHARF ACCESS TRESTLE</v>
          </cell>
          <cell r="C18" t="str">
            <v>SY</v>
          </cell>
          <cell r="D18" t="str">
            <v>S</v>
          </cell>
          <cell r="E18"/>
          <cell r="F18">
            <v>1.0209999999999999</v>
          </cell>
          <cell r="G18"/>
          <cell r="H18"/>
          <cell r="I18"/>
          <cell r="J18"/>
          <cell r="K18"/>
          <cell r="L18"/>
          <cell r="M18"/>
          <cell r="N18"/>
          <cell r="O18"/>
          <cell r="P18">
            <v>1.032</v>
          </cell>
          <cell r="Q18">
            <v>1.0349999999999999</v>
          </cell>
          <cell r="R18">
            <v>1.0905505199999999</v>
          </cell>
        </row>
        <row r="19">
          <cell r="A19">
            <v>1541</v>
          </cell>
          <cell r="B19" t="str">
            <v>SHORE EROSION PREVENTION FACILITY</v>
          </cell>
          <cell r="C19" t="str">
            <v>LF</v>
          </cell>
          <cell r="D19" t="str">
            <v>S</v>
          </cell>
          <cell r="E19"/>
          <cell r="F19">
            <v>1.0209999999999999</v>
          </cell>
          <cell r="G19"/>
          <cell r="H19"/>
          <cell r="I19"/>
          <cell r="J19"/>
          <cell r="K19"/>
          <cell r="L19"/>
          <cell r="M19"/>
          <cell r="N19"/>
          <cell r="O19"/>
          <cell r="P19"/>
          <cell r="Q19"/>
          <cell r="R19">
            <v>1.0209999999999999</v>
          </cell>
        </row>
        <row r="20">
          <cell r="A20">
            <v>1551</v>
          </cell>
          <cell r="B20" t="str">
            <v>SMALL CRAFT BERTHING</v>
          </cell>
          <cell r="C20" t="str">
            <v>FB</v>
          </cell>
          <cell r="D20" t="str">
            <v>S</v>
          </cell>
          <cell r="E20"/>
          <cell r="F20">
            <v>1.0209999999999999</v>
          </cell>
          <cell r="G20"/>
          <cell r="H20"/>
          <cell r="I20"/>
          <cell r="J20"/>
          <cell r="K20"/>
          <cell r="L20"/>
          <cell r="M20"/>
          <cell r="N20"/>
          <cell r="O20"/>
          <cell r="P20">
            <v>1.032</v>
          </cell>
          <cell r="Q20">
            <v>1.0349999999999999</v>
          </cell>
          <cell r="R20">
            <v>1.0905505199999999</v>
          </cell>
        </row>
        <row r="21">
          <cell r="A21">
            <v>1552</v>
          </cell>
          <cell r="B21" t="str">
            <v>SMALL CRAFT BUILDING</v>
          </cell>
          <cell r="C21" t="str">
            <v>SF</v>
          </cell>
          <cell r="D21" t="str">
            <v>B</v>
          </cell>
          <cell r="E21"/>
          <cell r="F21">
            <v>1.0209999999999999</v>
          </cell>
          <cell r="G21"/>
          <cell r="H21"/>
          <cell r="I21"/>
          <cell r="J21">
            <v>1.0049999999999999</v>
          </cell>
          <cell r="K21"/>
          <cell r="L21"/>
          <cell r="M21"/>
          <cell r="N21">
            <v>1.0029999999999999</v>
          </cell>
          <cell r="O21">
            <v>1.0209999999999999</v>
          </cell>
          <cell r="P21">
            <v>1.032</v>
          </cell>
          <cell r="Q21">
            <v>1.0349999999999999</v>
          </cell>
          <cell r="R21">
            <v>1.1223763993485734</v>
          </cell>
        </row>
        <row r="22">
          <cell r="A22">
            <v>1591</v>
          </cell>
          <cell r="B22" t="str">
            <v>MISCELLANEOUS WATERFRONT FACILITY</v>
          </cell>
          <cell r="C22" t="str">
            <v>EA</v>
          </cell>
          <cell r="D22" t="str">
            <v>S</v>
          </cell>
          <cell r="E22"/>
          <cell r="F22">
            <v>1.0209999999999999</v>
          </cell>
          <cell r="G22"/>
          <cell r="H22"/>
          <cell r="I22"/>
          <cell r="J22"/>
          <cell r="K22"/>
          <cell r="L22"/>
          <cell r="M22"/>
          <cell r="N22"/>
          <cell r="O22"/>
          <cell r="P22"/>
          <cell r="Q22"/>
          <cell r="R22">
            <v>1.0209999999999999</v>
          </cell>
        </row>
        <row r="23">
          <cell r="A23">
            <v>1641</v>
          </cell>
          <cell r="B23" t="str">
            <v>HARBOR MARINE IMPROVEMENTS</v>
          </cell>
          <cell r="C23" t="str">
            <v>LF</v>
          </cell>
          <cell r="D23" t="str">
            <v>S</v>
          </cell>
          <cell r="E23"/>
          <cell r="F23">
            <v>1.0209999999999999</v>
          </cell>
          <cell r="G23"/>
          <cell r="H23"/>
          <cell r="I23"/>
          <cell r="J23"/>
          <cell r="K23"/>
          <cell r="L23"/>
          <cell r="M23"/>
          <cell r="N23"/>
          <cell r="O23"/>
          <cell r="P23"/>
          <cell r="Q23"/>
          <cell r="R23">
            <v>1.0209999999999999</v>
          </cell>
        </row>
        <row r="24">
          <cell r="A24">
            <v>1725</v>
          </cell>
          <cell r="B24" t="str">
            <v>TRAINING POOL AND TANK</v>
          </cell>
          <cell r="C24" t="str">
            <v>EA</v>
          </cell>
          <cell r="D24" t="str">
            <v>S</v>
          </cell>
          <cell r="E24"/>
          <cell r="F24">
            <v>1.0209999999999999</v>
          </cell>
          <cell r="G24">
            <v>1.0269999999999999</v>
          </cell>
          <cell r="H24"/>
          <cell r="I24"/>
          <cell r="J24"/>
          <cell r="K24"/>
          <cell r="L24">
            <v>1.0129999999999999</v>
          </cell>
          <cell r="M24"/>
          <cell r="N24">
            <v>1.0029999999999999</v>
          </cell>
          <cell r="O24"/>
          <cell r="P24">
            <v>1.032</v>
          </cell>
          <cell r="Q24">
            <v>1.0349999999999999</v>
          </cell>
          <cell r="R24">
            <v>1.1379589900046172</v>
          </cell>
        </row>
        <row r="25">
          <cell r="A25">
            <v>1745</v>
          </cell>
          <cell r="B25" t="str">
            <v>PARADE AND DRILL FIELD</v>
          </cell>
          <cell r="C25" t="str">
            <v>AC</v>
          </cell>
          <cell r="D25" t="str">
            <v>S</v>
          </cell>
          <cell r="E25"/>
          <cell r="F25">
            <v>1.0209999999999999</v>
          </cell>
          <cell r="G25"/>
          <cell r="H25"/>
          <cell r="I25"/>
          <cell r="J25"/>
          <cell r="K25"/>
          <cell r="L25"/>
          <cell r="M25"/>
          <cell r="N25"/>
          <cell r="O25"/>
          <cell r="P25"/>
          <cell r="Q25"/>
          <cell r="R25">
            <v>1.0209999999999999</v>
          </cell>
        </row>
        <row r="26">
          <cell r="A26">
            <v>1750</v>
          </cell>
          <cell r="B26" t="str">
            <v>GENERAL PURPOSE SMALL ARMS RANGE</v>
          </cell>
          <cell r="C26" t="str">
            <v>FP</v>
          </cell>
          <cell r="D26" t="str">
            <v>S</v>
          </cell>
          <cell r="E26"/>
          <cell r="F26">
            <v>1.0209999999999999</v>
          </cell>
          <cell r="G26">
            <v>1.0269999999999999</v>
          </cell>
          <cell r="H26"/>
          <cell r="I26"/>
          <cell r="J26"/>
          <cell r="K26"/>
          <cell r="L26"/>
          <cell r="M26"/>
          <cell r="N26"/>
          <cell r="O26"/>
          <cell r="P26"/>
          <cell r="Q26"/>
          <cell r="R26">
            <v>1.0485669999999998</v>
          </cell>
        </row>
        <row r="27">
          <cell r="A27">
            <v>1751</v>
          </cell>
          <cell r="B27" t="str">
            <v>ZERO RANGE</v>
          </cell>
          <cell r="C27" t="str">
            <v>FP</v>
          </cell>
          <cell r="D27" t="str">
            <v>S</v>
          </cell>
          <cell r="E27"/>
          <cell r="F27">
            <v>1.0209999999999999</v>
          </cell>
          <cell r="G27">
            <v>1.0269999999999999</v>
          </cell>
          <cell r="H27"/>
          <cell r="I27"/>
          <cell r="J27"/>
          <cell r="K27"/>
          <cell r="L27"/>
          <cell r="M27"/>
          <cell r="N27"/>
          <cell r="O27"/>
          <cell r="P27"/>
          <cell r="Q27"/>
          <cell r="R27">
            <v>1.0485669999999998</v>
          </cell>
        </row>
        <row r="28">
          <cell r="A28">
            <v>1752</v>
          </cell>
          <cell r="B28" t="str">
            <v>FIELD FIRE RANGE</v>
          </cell>
          <cell r="C28" t="str">
            <v>FP</v>
          </cell>
          <cell r="D28" t="str">
            <v>S</v>
          </cell>
          <cell r="E28"/>
          <cell r="F28">
            <v>1.0209999999999999</v>
          </cell>
          <cell r="G28">
            <v>1.0269999999999999</v>
          </cell>
          <cell r="H28"/>
          <cell r="I28"/>
          <cell r="J28"/>
          <cell r="K28"/>
          <cell r="L28"/>
          <cell r="M28"/>
          <cell r="N28"/>
          <cell r="O28"/>
          <cell r="P28"/>
          <cell r="Q28"/>
          <cell r="R28">
            <v>1.0485669999999998</v>
          </cell>
        </row>
        <row r="29">
          <cell r="A29">
            <v>1753</v>
          </cell>
          <cell r="B29" t="str">
            <v>RECORD FIRE RANGE</v>
          </cell>
          <cell r="C29" t="str">
            <v>FP</v>
          </cell>
          <cell r="D29" t="str">
            <v>S</v>
          </cell>
          <cell r="E29"/>
          <cell r="F29">
            <v>1.0209999999999999</v>
          </cell>
          <cell r="G29">
            <v>1.0269999999999999</v>
          </cell>
          <cell r="H29"/>
          <cell r="I29"/>
          <cell r="J29"/>
          <cell r="K29"/>
          <cell r="L29"/>
          <cell r="M29"/>
          <cell r="N29"/>
          <cell r="O29"/>
          <cell r="P29"/>
          <cell r="Q29"/>
          <cell r="R29">
            <v>1.0485669999999998</v>
          </cell>
        </row>
        <row r="30">
          <cell r="A30">
            <v>1754</v>
          </cell>
          <cell r="B30" t="str">
            <v>NIGHT FIRE RANGE</v>
          </cell>
          <cell r="C30" t="str">
            <v>FP</v>
          </cell>
          <cell r="D30" t="str">
            <v>S</v>
          </cell>
          <cell r="E30"/>
          <cell r="F30">
            <v>1.0209999999999999</v>
          </cell>
          <cell r="G30">
            <v>1.0269999999999999</v>
          </cell>
          <cell r="H30"/>
          <cell r="I30"/>
          <cell r="J30"/>
          <cell r="K30"/>
          <cell r="L30"/>
          <cell r="M30"/>
          <cell r="N30"/>
          <cell r="O30"/>
          <cell r="P30"/>
          <cell r="Q30"/>
          <cell r="R30">
            <v>1.0485669999999998</v>
          </cell>
        </row>
        <row r="31">
          <cell r="A31">
            <v>1755</v>
          </cell>
          <cell r="B31" t="str">
            <v>KNOWN DISTANCE RANGE</v>
          </cell>
          <cell r="C31" t="str">
            <v>FP</v>
          </cell>
          <cell r="D31" t="str">
            <v>S</v>
          </cell>
          <cell r="E31"/>
          <cell r="F31">
            <v>1.0209999999999999</v>
          </cell>
          <cell r="G31">
            <v>1.0269999999999999</v>
          </cell>
          <cell r="H31"/>
          <cell r="I31"/>
          <cell r="J31"/>
          <cell r="K31"/>
          <cell r="L31"/>
          <cell r="M31"/>
          <cell r="N31"/>
          <cell r="O31"/>
          <cell r="P31"/>
          <cell r="Q31"/>
          <cell r="R31">
            <v>1.0485669999999998</v>
          </cell>
        </row>
        <row r="32">
          <cell r="A32">
            <v>1756</v>
          </cell>
          <cell r="B32" t="str">
            <v>SNIPER RANGE</v>
          </cell>
          <cell r="C32" t="str">
            <v>FP</v>
          </cell>
          <cell r="D32" t="str">
            <v>S</v>
          </cell>
          <cell r="E32"/>
          <cell r="F32">
            <v>1.0209999999999999</v>
          </cell>
          <cell r="G32">
            <v>1.0269999999999999</v>
          </cell>
          <cell r="H32"/>
          <cell r="I32"/>
          <cell r="J32"/>
          <cell r="K32"/>
          <cell r="L32"/>
          <cell r="M32"/>
          <cell r="N32"/>
          <cell r="O32"/>
          <cell r="P32"/>
          <cell r="Q32"/>
          <cell r="R32">
            <v>1.0485669999999998</v>
          </cell>
        </row>
        <row r="33">
          <cell r="A33">
            <v>1757</v>
          </cell>
          <cell r="B33" t="str">
            <v>PISTOL RANGE</v>
          </cell>
          <cell r="C33" t="str">
            <v>FP</v>
          </cell>
          <cell r="D33" t="str">
            <v>S</v>
          </cell>
          <cell r="E33"/>
          <cell r="F33">
            <v>1.0209999999999999</v>
          </cell>
          <cell r="G33">
            <v>1.0269999999999999</v>
          </cell>
          <cell r="H33"/>
          <cell r="I33"/>
          <cell r="J33"/>
          <cell r="K33"/>
          <cell r="L33"/>
          <cell r="M33"/>
          <cell r="N33"/>
          <cell r="O33"/>
          <cell r="P33"/>
          <cell r="Q33"/>
          <cell r="R33">
            <v>1.0485669999999998</v>
          </cell>
        </row>
        <row r="34">
          <cell r="A34">
            <v>1758</v>
          </cell>
          <cell r="B34" t="str">
            <v>MACHINEGUN RANGE</v>
          </cell>
          <cell r="C34" t="str">
            <v>FP</v>
          </cell>
          <cell r="D34" t="str">
            <v>S</v>
          </cell>
          <cell r="E34"/>
          <cell r="F34">
            <v>1.0209999999999999</v>
          </cell>
          <cell r="G34">
            <v>1.0269999999999999</v>
          </cell>
          <cell r="H34"/>
          <cell r="I34"/>
          <cell r="J34"/>
          <cell r="K34"/>
          <cell r="L34"/>
          <cell r="M34"/>
          <cell r="N34"/>
          <cell r="O34"/>
          <cell r="P34"/>
          <cell r="Q34"/>
          <cell r="R34">
            <v>1.0485669999999998</v>
          </cell>
        </row>
        <row r="35">
          <cell r="A35">
            <v>1760</v>
          </cell>
          <cell r="B35" t="str">
            <v>GENERAL PURPOSE DIRECT FIRE RANGE</v>
          </cell>
          <cell r="C35" t="str">
            <v>FP</v>
          </cell>
          <cell r="D35" t="str">
            <v>S</v>
          </cell>
          <cell r="E35"/>
          <cell r="F35">
            <v>1.0209999999999999</v>
          </cell>
          <cell r="G35">
            <v>1.0269999999999999</v>
          </cell>
          <cell r="H35"/>
          <cell r="I35"/>
          <cell r="J35"/>
          <cell r="K35"/>
          <cell r="L35"/>
          <cell r="M35"/>
          <cell r="N35"/>
          <cell r="O35"/>
          <cell r="P35"/>
          <cell r="Q35"/>
          <cell r="R35">
            <v>1.0485669999999998</v>
          </cell>
        </row>
        <row r="36">
          <cell r="A36">
            <v>1761</v>
          </cell>
          <cell r="B36" t="str">
            <v>GRENADE LAUNCHER RANGE</v>
          </cell>
          <cell r="C36" t="str">
            <v>FP</v>
          </cell>
          <cell r="D36" t="str">
            <v>S</v>
          </cell>
          <cell r="E36"/>
          <cell r="F36">
            <v>1.0209999999999999</v>
          </cell>
          <cell r="G36">
            <v>1.0269999999999999</v>
          </cell>
          <cell r="H36"/>
          <cell r="I36"/>
          <cell r="J36"/>
          <cell r="K36"/>
          <cell r="L36"/>
          <cell r="M36"/>
          <cell r="N36"/>
          <cell r="O36"/>
          <cell r="P36"/>
          <cell r="Q36"/>
          <cell r="R36">
            <v>1.0485669999999998</v>
          </cell>
        </row>
        <row r="37">
          <cell r="A37">
            <v>1762</v>
          </cell>
          <cell r="B37" t="str">
            <v>GRENADE MACHINEGUN RANGE</v>
          </cell>
          <cell r="C37" t="str">
            <v>LN</v>
          </cell>
          <cell r="D37" t="str">
            <v>S</v>
          </cell>
          <cell r="E37"/>
          <cell r="F37">
            <v>1.0209999999999999</v>
          </cell>
          <cell r="G37">
            <v>1.0269999999999999</v>
          </cell>
          <cell r="H37"/>
          <cell r="I37"/>
          <cell r="J37"/>
          <cell r="K37"/>
          <cell r="L37"/>
          <cell r="M37"/>
          <cell r="N37"/>
          <cell r="O37"/>
          <cell r="P37"/>
          <cell r="Q37"/>
          <cell r="R37">
            <v>1.0485669999999998</v>
          </cell>
        </row>
        <row r="38">
          <cell r="A38">
            <v>1763</v>
          </cell>
          <cell r="B38" t="str">
            <v>LIGHT ANTIARMOR WEAPON RANGE</v>
          </cell>
          <cell r="C38" t="str">
            <v>FP</v>
          </cell>
          <cell r="D38" t="str">
            <v>S</v>
          </cell>
          <cell r="E38"/>
          <cell r="F38">
            <v>1.0209999999999999</v>
          </cell>
          <cell r="G38">
            <v>1.0269999999999999</v>
          </cell>
          <cell r="H38"/>
          <cell r="I38"/>
          <cell r="J38"/>
          <cell r="K38"/>
          <cell r="L38"/>
          <cell r="M38"/>
          <cell r="N38"/>
          <cell r="O38"/>
          <cell r="P38"/>
          <cell r="Q38"/>
          <cell r="R38">
            <v>1.0485669999999998</v>
          </cell>
        </row>
        <row r="39">
          <cell r="A39">
            <v>1764</v>
          </cell>
          <cell r="B39" t="str">
            <v>HEAVY ANTIARMOR WEAPON RANGE</v>
          </cell>
          <cell r="C39" t="str">
            <v>LN</v>
          </cell>
          <cell r="D39" t="str">
            <v>S</v>
          </cell>
          <cell r="E39"/>
          <cell r="F39">
            <v>1.0209999999999999</v>
          </cell>
          <cell r="G39">
            <v>1.0269999999999999</v>
          </cell>
          <cell r="H39"/>
          <cell r="I39"/>
          <cell r="J39"/>
          <cell r="K39"/>
          <cell r="L39"/>
          <cell r="M39"/>
          <cell r="N39"/>
          <cell r="O39"/>
          <cell r="P39"/>
          <cell r="Q39"/>
          <cell r="R39">
            <v>1.0485669999999998</v>
          </cell>
        </row>
        <row r="40">
          <cell r="A40">
            <v>1765</v>
          </cell>
          <cell r="B40" t="str">
            <v>ARTILLERY DIRECT FIRE RANGE</v>
          </cell>
          <cell r="C40" t="str">
            <v>EA</v>
          </cell>
          <cell r="D40" t="str">
            <v>S</v>
          </cell>
          <cell r="E40"/>
          <cell r="F40">
            <v>1.0209999999999999</v>
          </cell>
          <cell r="G40">
            <v>1.0269999999999999</v>
          </cell>
          <cell r="H40"/>
          <cell r="I40"/>
          <cell r="J40"/>
          <cell r="K40"/>
          <cell r="L40"/>
          <cell r="M40"/>
          <cell r="N40"/>
          <cell r="O40"/>
          <cell r="P40"/>
          <cell r="Q40"/>
          <cell r="R40">
            <v>1.0485669999999998</v>
          </cell>
        </row>
        <row r="41">
          <cell r="A41">
            <v>1766</v>
          </cell>
          <cell r="B41" t="str">
            <v>TANK STATIONARY GUNNERY RANGE</v>
          </cell>
          <cell r="C41" t="str">
            <v>EA</v>
          </cell>
          <cell r="D41" t="str">
            <v>S</v>
          </cell>
          <cell r="E41"/>
          <cell r="F41">
            <v>1.0209999999999999</v>
          </cell>
          <cell r="G41">
            <v>1.0269999999999999</v>
          </cell>
          <cell r="H41"/>
          <cell r="I41"/>
          <cell r="J41"/>
          <cell r="K41"/>
          <cell r="L41"/>
          <cell r="M41"/>
          <cell r="N41"/>
          <cell r="O41"/>
          <cell r="P41"/>
          <cell r="Q41"/>
          <cell r="R41">
            <v>1.0485669999999998</v>
          </cell>
        </row>
        <row r="42">
          <cell r="A42">
            <v>1767</v>
          </cell>
          <cell r="B42" t="str">
            <v>INDIRECT FIRE RANGE</v>
          </cell>
          <cell r="C42" t="str">
            <v>EA</v>
          </cell>
          <cell r="D42" t="str">
            <v>S</v>
          </cell>
          <cell r="E42"/>
          <cell r="F42">
            <v>1.0209999999999999</v>
          </cell>
          <cell r="G42">
            <v>1.0269999999999999</v>
          </cell>
          <cell r="H42"/>
          <cell r="I42"/>
          <cell r="J42"/>
          <cell r="K42"/>
          <cell r="L42"/>
          <cell r="M42"/>
          <cell r="N42"/>
          <cell r="O42"/>
          <cell r="P42"/>
          <cell r="Q42"/>
          <cell r="R42">
            <v>1.0485669999999998</v>
          </cell>
        </row>
        <row r="43">
          <cell r="A43">
            <v>1768</v>
          </cell>
          <cell r="B43" t="str">
            <v>SCALED INDIRECT FIRE RANGE</v>
          </cell>
          <cell r="C43" t="str">
            <v>EA</v>
          </cell>
          <cell r="D43" t="str">
            <v>S</v>
          </cell>
          <cell r="E43"/>
          <cell r="F43">
            <v>1.0209999999999999</v>
          </cell>
          <cell r="G43">
            <v>1.0269999999999999</v>
          </cell>
          <cell r="H43"/>
          <cell r="I43"/>
          <cell r="J43"/>
          <cell r="K43"/>
          <cell r="L43"/>
          <cell r="M43"/>
          <cell r="N43"/>
          <cell r="O43"/>
          <cell r="P43"/>
          <cell r="Q43"/>
          <cell r="R43">
            <v>1.0485669999999998</v>
          </cell>
        </row>
        <row r="44">
          <cell r="A44">
            <v>1769</v>
          </cell>
          <cell r="B44" t="str">
            <v>SCALED GUNNERY RANGE</v>
          </cell>
          <cell r="C44" t="str">
            <v>EA</v>
          </cell>
          <cell r="D44" t="str">
            <v>S</v>
          </cell>
          <cell r="E44"/>
          <cell r="F44">
            <v>1.0209999999999999</v>
          </cell>
          <cell r="G44">
            <v>1.0269999999999999</v>
          </cell>
          <cell r="H44"/>
          <cell r="I44"/>
          <cell r="J44"/>
          <cell r="K44"/>
          <cell r="L44"/>
          <cell r="M44"/>
          <cell r="N44"/>
          <cell r="O44"/>
          <cell r="P44"/>
          <cell r="Q44"/>
          <cell r="R44">
            <v>1.0485669999999998</v>
          </cell>
        </row>
        <row r="45">
          <cell r="A45">
            <v>1771</v>
          </cell>
          <cell r="B45" t="str">
            <v>ARMOR VEHICLE CREW TRAINING RANGE</v>
          </cell>
          <cell r="C45" t="str">
            <v>LN</v>
          </cell>
          <cell r="D45" t="str">
            <v>S</v>
          </cell>
          <cell r="E45"/>
          <cell r="F45">
            <v>1.0209999999999999</v>
          </cell>
          <cell r="G45">
            <v>1.0269999999999999</v>
          </cell>
          <cell r="H45"/>
          <cell r="I45"/>
          <cell r="J45"/>
          <cell r="K45"/>
          <cell r="L45"/>
          <cell r="M45"/>
          <cell r="N45"/>
          <cell r="O45"/>
          <cell r="P45">
            <v>1.032</v>
          </cell>
          <cell r="Q45"/>
          <cell r="R45">
            <v>1.0821211439999998</v>
          </cell>
        </row>
        <row r="46">
          <cell r="A46">
            <v>1772</v>
          </cell>
          <cell r="B46" t="str">
            <v>ARMOR VEHICLE UNIT TRAINING RANGE</v>
          </cell>
          <cell r="C46" t="str">
            <v>EA</v>
          </cell>
          <cell r="D46" t="str">
            <v>S</v>
          </cell>
          <cell r="E46"/>
          <cell r="F46">
            <v>1.0209999999999999</v>
          </cell>
          <cell r="G46">
            <v>1.0269999999999999</v>
          </cell>
          <cell r="H46"/>
          <cell r="I46"/>
          <cell r="J46"/>
          <cell r="K46"/>
          <cell r="L46"/>
          <cell r="M46"/>
          <cell r="N46"/>
          <cell r="O46"/>
          <cell r="P46">
            <v>1.032</v>
          </cell>
          <cell r="Q46"/>
          <cell r="R46">
            <v>1.0821211439999998</v>
          </cell>
        </row>
        <row r="47">
          <cell r="A47">
            <v>1773</v>
          </cell>
          <cell r="B47" t="str">
            <v>FIRE AND MOVEMENT RANGE</v>
          </cell>
          <cell r="C47" t="str">
            <v>LN</v>
          </cell>
          <cell r="D47" t="str">
            <v>S</v>
          </cell>
          <cell r="E47"/>
          <cell r="F47">
            <v>1.0209999999999999</v>
          </cell>
          <cell r="G47">
            <v>1.0269999999999999</v>
          </cell>
          <cell r="H47"/>
          <cell r="I47"/>
          <cell r="J47"/>
          <cell r="K47"/>
          <cell r="L47"/>
          <cell r="M47"/>
          <cell r="N47"/>
          <cell r="O47"/>
          <cell r="P47"/>
          <cell r="Q47"/>
          <cell r="R47">
            <v>1.0485669999999998</v>
          </cell>
        </row>
        <row r="48">
          <cell r="A48">
            <v>1774</v>
          </cell>
          <cell r="B48" t="str">
            <v>SQUAD DEFENSE RANGE</v>
          </cell>
          <cell r="C48" t="str">
            <v>EA</v>
          </cell>
          <cell r="D48" t="str">
            <v>S</v>
          </cell>
          <cell r="E48"/>
          <cell r="F48">
            <v>1.0209999999999999</v>
          </cell>
          <cell r="G48">
            <v>1.0269999999999999</v>
          </cell>
          <cell r="H48"/>
          <cell r="I48"/>
          <cell r="J48"/>
          <cell r="K48"/>
          <cell r="L48"/>
          <cell r="M48"/>
          <cell r="N48"/>
          <cell r="O48"/>
          <cell r="P48"/>
          <cell r="Q48"/>
          <cell r="R48">
            <v>1.0485669999999998</v>
          </cell>
        </row>
        <row r="49">
          <cell r="A49">
            <v>1775</v>
          </cell>
          <cell r="B49" t="str">
            <v>INFANTRY BATTLE COURSE</v>
          </cell>
          <cell r="C49" t="str">
            <v>EA</v>
          </cell>
          <cell r="D49" t="str">
            <v>S</v>
          </cell>
          <cell r="E49"/>
          <cell r="F49">
            <v>1.0209999999999999</v>
          </cell>
          <cell r="G49">
            <v>1.0269999999999999</v>
          </cell>
          <cell r="H49"/>
          <cell r="I49"/>
          <cell r="J49"/>
          <cell r="K49"/>
          <cell r="L49"/>
          <cell r="M49"/>
          <cell r="N49"/>
          <cell r="O49"/>
          <cell r="P49"/>
          <cell r="Q49"/>
          <cell r="R49">
            <v>1.0485669999999998</v>
          </cell>
        </row>
        <row r="50">
          <cell r="A50">
            <v>1776</v>
          </cell>
          <cell r="B50" t="str">
            <v>URBAN COMBAT TRAINING RANGE</v>
          </cell>
          <cell r="C50" t="str">
            <v>EA</v>
          </cell>
          <cell r="D50" t="str">
            <v>S</v>
          </cell>
          <cell r="E50"/>
          <cell r="F50">
            <v>1.0209999999999999</v>
          </cell>
          <cell r="G50">
            <v>1.0269999999999999</v>
          </cell>
          <cell r="H50"/>
          <cell r="I50"/>
          <cell r="J50"/>
          <cell r="K50"/>
          <cell r="L50"/>
          <cell r="M50"/>
          <cell r="N50"/>
          <cell r="O50"/>
          <cell r="P50">
            <v>1.032</v>
          </cell>
          <cell r="Q50"/>
          <cell r="R50">
            <v>1.0821211439999998</v>
          </cell>
        </row>
        <row r="51">
          <cell r="A51">
            <v>1777</v>
          </cell>
          <cell r="B51" t="str">
            <v>CONVOY LIVE FIRE RANGE</v>
          </cell>
          <cell r="C51" t="str">
            <v>FP</v>
          </cell>
          <cell r="D51" t="str">
            <v>S</v>
          </cell>
          <cell r="E51"/>
          <cell r="F51">
            <v>1.0209999999999999</v>
          </cell>
          <cell r="G51">
            <v>1.0269999999999999</v>
          </cell>
          <cell r="H51"/>
          <cell r="I51"/>
          <cell r="J51"/>
          <cell r="K51"/>
          <cell r="L51"/>
          <cell r="M51"/>
          <cell r="N51"/>
          <cell r="O51"/>
          <cell r="P51"/>
          <cell r="Q51"/>
          <cell r="R51">
            <v>1.0485669999999998</v>
          </cell>
        </row>
        <row r="52">
          <cell r="A52">
            <v>1781</v>
          </cell>
          <cell r="B52" t="str">
            <v>LIVE HAND GRENADE RANGE</v>
          </cell>
          <cell r="C52" t="str">
            <v>FP</v>
          </cell>
          <cell r="D52" t="str">
            <v>S</v>
          </cell>
          <cell r="E52"/>
          <cell r="F52">
            <v>1.0209999999999999</v>
          </cell>
          <cell r="G52">
            <v>1.0269999999999999</v>
          </cell>
          <cell r="H52"/>
          <cell r="I52"/>
          <cell r="J52"/>
          <cell r="K52"/>
          <cell r="L52"/>
          <cell r="M52"/>
          <cell r="N52"/>
          <cell r="O52"/>
          <cell r="P52"/>
          <cell r="Q52"/>
          <cell r="R52">
            <v>1.0485669999999998</v>
          </cell>
        </row>
        <row r="53">
          <cell r="A53">
            <v>1782</v>
          </cell>
          <cell r="B53" t="str">
            <v>ENGINEER QUALIFICATION RANGE</v>
          </cell>
          <cell r="C53" t="str">
            <v>FP</v>
          </cell>
          <cell r="D53" t="str">
            <v>S</v>
          </cell>
          <cell r="E53"/>
          <cell r="F53">
            <v>1.0209999999999999</v>
          </cell>
          <cell r="G53">
            <v>1.0269999999999999</v>
          </cell>
          <cell r="H53"/>
          <cell r="I53"/>
          <cell r="J53"/>
          <cell r="K53"/>
          <cell r="L53"/>
          <cell r="M53"/>
          <cell r="N53"/>
          <cell r="O53"/>
          <cell r="P53"/>
          <cell r="Q53"/>
          <cell r="R53">
            <v>1.0485669999999998</v>
          </cell>
        </row>
        <row r="54">
          <cell r="A54">
            <v>1783</v>
          </cell>
          <cell r="B54" t="str">
            <v>LIGHT DEMOLITION AND FLAME TRAINING RANGE</v>
          </cell>
          <cell r="C54" t="str">
            <v>FP</v>
          </cell>
          <cell r="D54" t="str">
            <v>S</v>
          </cell>
          <cell r="E54"/>
          <cell r="F54">
            <v>1.0209999999999999</v>
          </cell>
          <cell r="G54">
            <v>1.0269999999999999</v>
          </cell>
          <cell r="H54"/>
          <cell r="I54"/>
          <cell r="J54"/>
          <cell r="K54"/>
          <cell r="L54"/>
          <cell r="M54"/>
          <cell r="N54"/>
          <cell r="O54"/>
          <cell r="P54"/>
          <cell r="Q54"/>
          <cell r="R54">
            <v>1.0485669999999998</v>
          </cell>
        </row>
        <row r="55">
          <cell r="A55">
            <v>1790</v>
          </cell>
          <cell r="B55" t="str">
            <v>MISCELLANEOUS TRAINING FACILITY</v>
          </cell>
          <cell r="C55" t="str">
            <v>EA</v>
          </cell>
          <cell r="D55" t="str">
            <v>S</v>
          </cell>
          <cell r="E55"/>
          <cell r="F55">
            <v>1.0209999999999999</v>
          </cell>
          <cell r="G55">
            <v>1.0269999999999999</v>
          </cell>
          <cell r="H55"/>
          <cell r="I55"/>
          <cell r="J55"/>
          <cell r="K55"/>
          <cell r="L55"/>
          <cell r="M55"/>
          <cell r="N55"/>
          <cell r="O55"/>
          <cell r="P55"/>
          <cell r="Q55"/>
          <cell r="R55">
            <v>1.0485669999999998</v>
          </cell>
        </row>
        <row r="56">
          <cell r="A56">
            <v>1791</v>
          </cell>
          <cell r="B56" t="str">
            <v>AIRCRAFT WEAPONS CALIBRATION RANGE</v>
          </cell>
          <cell r="C56" t="str">
            <v>EA</v>
          </cell>
          <cell r="D56" t="str">
            <v>S</v>
          </cell>
          <cell r="E56"/>
          <cell r="F56">
            <v>1.0209999999999999</v>
          </cell>
          <cell r="G56">
            <v>1.0269999999999999</v>
          </cell>
          <cell r="H56"/>
          <cell r="I56"/>
          <cell r="J56"/>
          <cell r="K56"/>
          <cell r="L56"/>
          <cell r="M56"/>
          <cell r="N56"/>
          <cell r="O56"/>
          <cell r="P56"/>
          <cell r="Q56"/>
          <cell r="R56">
            <v>1.0485669999999998</v>
          </cell>
        </row>
        <row r="57">
          <cell r="A57">
            <v>1792</v>
          </cell>
          <cell r="B57" t="str">
            <v>ATTACK HELICOPTER WEAPONS RANGE</v>
          </cell>
          <cell r="C57" t="str">
            <v>EA</v>
          </cell>
          <cell r="D57" t="str">
            <v>S</v>
          </cell>
          <cell r="E57"/>
          <cell r="F57">
            <v>1.0209999999999999</v>
          </cell>
          <cell r="G57">
            <v>1.0269999999999999</v>
          </cell>
          <cell r="H57"/>
          <cell r="I57"/>
          <cell r="J57"/>
          <cell r="K57"/>
          <cell r="L57"/>
          <cell r="M57"/>
          <cell r="N57"/>
          <cell r="O57"/>
          <cell r="P57">
            <v>1.032</v>
          </cell>
          <cell r="Q57"/>
          <cell r="R57">
            <v>1.0821211439999998</v>
          </cell>
        </row>
        <row r="58">
          <cell r="A58">
            <v>1793</v>
          </cell>
          <cell r="B58" t="str">
            <v>AIRCRAFT WEAPONS RANGE</v>
          </cell>
          <cell r="C58" t="str">
            <v>EA</v>
          </cell>
          <cell r="D58" t="str">
            <v>S</v>
          </cell>
          <cell r="E58"/>
          <cell r="F58">
            <v>1.0209999999999999</v>
          </cell>
          <cell r="G58">
            <v>1.0269999999999999</v>
          </cell>
          <cell r="H58"/>
          <cell r="I58"/>
          <cell r="J58"/>
          <cell r="K58"/>
          <cell r="L58"/>
          <cell r="M58"/>
          <cell r="N58"/>
          <cell r="O58"/>
          <cell r="P58"/>
          <cell r="Q58"/>
          <cell r="R58">
            <v>1.0485669999999998</v>
          </cell>
        </row>
        <row r="59">
          <cell r="A59">
            <v>1794</v>
          </cell>
          <cell r="B59" t="str">
            <v>AIR DEFENSE RANGE</v>
          </cell>
          <cell r="C59" t="str">
            <v>FP</v>
          </cell>
          <cell r="D59" t="str">
            <v>S</v>
          </cell>
          <cell r="E59"/>
          <cell r="F59">
            <v>1.0209999999999999</v>
          </cell>
          <cell r="G59">
            <v>1.0269999999999999</v>
          </cell>
          <cell r="H59"/>
          <cell r="I59"/>
          <cell r="J59"/>
          <cell r="K59"/>
          <cell r="L59"/>
          <cell r="M59"/>
          <cell r="N59"/>
          <cell r="O59"/>
          <cell r="P59"/>
          <cell r="Q59"/>
          <cell r="R59">
            <v>1.0485669999999998</v>
          </cell>
        </row>
        <row r="60">
          <cell r="A60">
            <v>1795</v>
          </cell>
          <cell r="B60" t="str">
            <v>FIRE AND RESCUE TRAINING FACILITY</v>
          </cell>
          <cell r="C60" t="str">
            <v>EA</v>
          </cell>
          <cell r="D60" t="str">
            <v>S</v>
          </cell>
          <cell r="E60"/>
          <cell r="F60">
            <v>1.0209999999999999</v>
          </cell>
          <cell r="G60">
            <v>1.0269999999999999</v>
          </cell>
          <cell r="H60"/>
          <cell r="I60"/>
          <cell r="J60"/>
          <cell r="K60"/>
          <cell r="L60"/>
          <cell r="M60"/>
          <cell r="N60"/>
          <cell r="O60"/>
          <cell r="P60">
            <v>1.032</v>
          </cell>
          <cell r="Q60"/>
          <cell r="R60">
            <v>1.0821211439999998</v>
          </cell>
        </row>
        <row r="61">
          <cell r="A61">
            <v>1796</v>
          </cell>
          <cell r="B61" t="str">
            <v>URBAN COMBAT TRAINING AREA, NON-FIRE</v>
          </cell>
          <cell r="C61" t="str">
            <v>SF</v>
          </cell>
          <cell r="D61" t="str">
            <v>S</v>
          </cell>
          <cell r="E61"/>
          <cell r="F61">
            <v>1.0209999999999999</v>
          </cell>
          <cell r="G61">
            <v>1.0269999999999999</v>
          </cell>
          <cell r="H61"/>
          <cell r="I61"/>
          <cell r="J61"/>
          <cell r="K61"/>
          <cell r="L61"/>
          <cell r="M61"/>
          <cell r="N61"/>
          <cell r="O61"/>
          <cell r="P61">
            <v>1.032</v>
          </cell>
          <cell r="Q61"/>
          <cell r="R61">
            <v>1.0821211439999998</v>
          </cell>
        </row>
        <row r="62">
          <cell r="A62">
            <v>1797</v>
          </cell>
          <cell r="B62" t="str">
            <v>HAND GRENADE RANGE, NON-FIRING</v>
          </cell>
          <cell r="C62" t="str">
            <v>FP</v>
          </cell>
          <cell r="D62" t="str">
            <v>S</v>
          </cell>
          <cell r="E62"/>
          <cell r="F62">
            <v>1.0209999999999999</v>
          </cell>
          <cell r="G62">
            <v>1.0269999999999999</v>
          </cell>
          <cell r="H62"/>
          <cell r="I62"/>
          <cell r="J62"/>
          <cell r="K62"/>
          <cell r="L62"/>
          <cell r="M62"/>
          <cell r="N62"/>
          <cell r="O62"/>
          <cell r="P62"/>
          <cell r="Q62"/>
          <cell r="R62">
            <v>1.0485669999999998</v>
          </cell>
        </row>
        <row r="63">
          <cell r="A63">
            <v>1798</v>
          </cell>
          <cell r="B63" t="str">
            <v>INFILTRATION COURSE, LIVE FIRE</v>
          </cell>
          <cell r="C63" t="str">
            <v>EA</v>
          </cell>
          <cell r="D63" t="str">
            <v>S</v>
          </cell>
          <cell r="E63"/>
          <cell r="F63">
            <v>1.0209999999999999</v>
          </cell>
          <cell r="G63">
            <v>1.0269999999999999</v>
          </cell>
          <cell r="H63"/>
          <cell r="I63"/>
          <cell r="J63"/>
          <cell r="K63"/>
          <cell r="L63"/>
          <cell r="M63"/>
          <cell r="N63"/>
          <cell r="O63"/>
          <cell r="P63"/>
          <cell r="Q63"/>
          <cell r="R63">
            <v>1.0485669999999998</v>
          </cell>
        </row>
        <row r="64">
          <cell r="A64">
            <v>1799</v>
          </cell>
          <cell r="B64" t="str">
            <v>CONFIDENCE/OBSTACLE COURSE</v>
          </cell>
          <cell r="C64" t="str">
            <v>EA</v>
          </cell>
          <cell r="D64" t="str">
            <v>S</v>
          </cell>
          <cell r="E64"/>
          <cell r="F64">
            <v>1.0209999999999999</v>
          </cell>
          <cell r="G64">
            <v>1.0269999999999999</v>
          </cell>
          <cell r="H64"/>
          <cell r="I64"/>
          <cell r="J64"/>
          <cell r="K64"/>
          <cell r="L64"/>
          <cell r="M64"/>
          <cell r="N64"/>
          <cell r="O64"/>
          <cell r="P64"/>
          <cell r="Q64"/>
          <cell r="R64">
            <v>1.0485669999999998</v>
          </cell>
        </row>
        <row r="65">
          <cell r="A65">
            <v>2112</v>
          </cell>
          <cell r="B65" t="str">
            <v>AIRCRAFT MAINTENANCE SHOP</v>
          </cell>
          <cell r="C65" t="str">
            <v>SF</v>
          </cell>
          <cell r="D65" t="str">
            <v>B</v>
          </cell>
          <cell r="E65"/>
          <cell r="F65">
            <v>1.0209999999999999</v>
          </cell>
          <cell r="G65">
            <v>1.0269999999999999</v>
          </cell>
          <cell r="H65">
            <v>1.0029999999999999</v>
          </cell>
          <cell r="I65">
            <v>1.0289999999999999</v>
          </cell>
          <cell r="J65">
            <v>1.0049999999999999</v>
          </cell>
          <cell r="K65"/>
          <cell r="L65"/>
          <cell r="M65">
            <v>1.0029999999999999</v>
          </cell>
          <cell r="N65">
            <v>1.0029999999999999</v>
          </cell>
          <cell r="O65">
            <v>1.0209999999999999</v>
          </cell>
          <cell r="P65">
            <v>1.032</v>
          </cell>
          <cell r="Q65">
            <v>1.0349999999999999</v>
          </cell>
          <cell r="R65">
            <v>1.1932356231980656</v>
          </cell>
        </row>
        <row r="66">
          <cell r="A66">
            <v>2121</v>
          </cell>
          <cell r="B66" t="str">
            <v>MISSILE MAINTENANCE/ASSEMBLY BUILDING</v>
          </cell>
          <cell r="C66" t="str">
            <v>SF</v>
          </cell>
          <cell r="D66" t="str">
            <v>B</v>
          </cell>
          <cell r="E66"/>
          <cell r="F66">
            <v>1.0209999999999999</v>
          </cell>
          <cell r="G66">
            <v>1.0269999999999999</v>
          </cell>
          <cell r="H66">
            <v>1.0029999999999999</v>
          </cell>
          <cell r="I66">
            <v>1.0289999999999999</v>
          </cell>
          <cell r="J66">
            <v>1.0049999999999999</v>
          </cell>
          <cell r="K66"/>
          <cell r="L66"/>
          <cell r="M66">
            <v>1.0029999999999999</v>
          </cell>
          <cell r="N66">
            <v>1.0029999999999999</v>
          </cell>
          <cell r="O66">
            <v>1.0209999999999999</v>
          </cell>
          <cell r="P66">
            <v>1.032</v>
          </cell>
          <cell r="Q66">
            <v>1.0349999999999999</v>
          </cell>
          <cell r="R66">
            <v>1.1932356231980656</v>
          </cell>
        </row>
        <row r="67">
          <cell r="A67">
            <v>2123</v>
          </cell>
          <cell r="B67" t="str">
            <v>MISSILE/LAUNCHER MAINTENANCE SUPPORT FACILITY</v>
          </cell>
          <cell r="C67" t="str">
            <v>SF</v>
          </cell>
          <cell r="D67" t="str">
            <v>B</v>
          </cell>
          <cell r="E67"/>
          <cell r="F67">
            <v>1.0209999999999999</v>
          </cell>
          <cell r="G67">
            <v>1.0269999999999999</v>
          </cell>
          <cell r="H67">
            <v>1.0029999999999999</v>
          </cell>
          <cell r="I67">
            <v>1.0289999999999999</v>
          </cell>
          <cell r="J67">
            <v>1.0049999999999999</v>
          </cell>
          <cell r="K67"/>
          <cell r="L67"/>
          <cell r="M67">
            <v>1.0029999999999999</v>
          </cell>
          <cell r="N67">
            <v>1.0029999999999999</v>
          </cell>
          <cell r="O67">
            <v>1.0209999999999999</v>
          </cell>
          <cell r="P67">
            <v>1.032</v>
          </cell>
          <cell r="Q67">
            <v>1.0349999999999999</v>
          </cell>
          <cell r="R67">
            <v>1.1932356231980656</v>
          </cell>
        </row>
        <row r="68">
          <cell r="A68">
            <v>2124</v>
          </cell>
          <cell r="B68" t="str">
            <v>MISSILE TEST TOWER</v>
          </cell>
          <cell r="C68" t="str">
            <v>EA</v>
          </cell>
          <cell r="D68" t="str">
            <v>S</v>
          </cell>
          <cell r="E68"/>
          <cell r="F68">
            <v>1.0209999999999999</v>
          </cell>
          <cell r="G68">
            <v>1.0269999999999999</v>
          </cell>
          <cell r="H68"/>
          <cell r="I68"/>
          <cell r="J68"/>
          <cell r="K68"/>
          <cell r="L68"/>
          <cell r="M68"/>
          <cell r="N68">
            <v>1.0029999999999999</v>
          </cell>
          <cell r="O68"/>
          <cell r="P68">
            <v>1.032</v>
          </cell>
          <cell r="Q68">
            <v>1.0349999999999999</v>
          </cell>
          <cell r="R68">
            <v>1.1233553701921195</v>
          </cell>
        </row>
        <row r="69">
          <cell r="A69">
            <v>2125</v>
          </cell>
          <cell r="B69" t="str">
            <v>MISSILE MAINTENANCE/ASSEMBLY BUILDING, DEPOT</v>
          </cell>
          <cell r="C69" t="str">
            <v>SF</v>
          </cell>
          <cell r="D69" t="str">
            <v>B</v>
          </cell>
          <cell r="E69"/>
          <cell r="F69">
            <v>1.0209999999999999</v>
          </cell>
          <cell r="G69">
            <v>1.0269999999999999</v>
          </cell>
          <cell r="H69">
            <v>1.0029999999999999</v>
          </cell>
          <cell r="I69">
            <v>1.0289999999999999</v>
          </cell>
          <cell r="J69">
            <v>1.0049999999999999</v>
          </cell>
          <cell r="K69"/>
          <cell r="L69"/>
          <cell r="M69">
            <v>1.0029999999999999</v>
          </cell>
          <cell r="N69">
            <v>1.0029999999999999</v>
          </cell>
          <cell r="O69">
            <v>1.0209999999999999</v>
          </cell>
          <cell r="P69">
            <v>1.032</v>
          </cell>
          <cell r="Q69">
            <v>1.0349999999999999</v>
          </cell>
          <cell r="R69">
            <v>1.1932356231980656</v>
          </cell>
        </row>
        <row r="70">
          <cell r="A70">
            <v>2126</v>
          </cell>
          <cell r="B70" t="str">
            <v>ICBM PROCESSING FACILITY</v>
          </cell>
          <cell r="C70" t="str">
            <v>SF</v>
          </cell>
          <cell r="D70" t="str">
            <v>B</v>
          </cell>
          <cell r="E70"/>
          <cell r="F70">
            <v>1.0209999999999999</v>
          </cell>
          <cell r="G70">
            <v>1.0269999999999999</v>
          </cell>
          <cell r="H70">
            <v>1.0029999999999999</v>
          </cell>
          <cell r="I70">
            <v>1.0289999999999999</v>
          </cell>
          <cell r="J70">
            <v>1.0049999999999999</v>
          </cell>
          <cell r="K70"/>
          <cell r="L70"/>
          <cell r="M70">
            <v>1.0029999999999999</v>
          </cell>
          <cell r="N70">
            <v>1.0029999999999999</v>
          </cell>
          <cell r="O70">
            <v>1.0209999999999999</v>
          </cell>
          <cell r="P70">
            <v>1.032</v>
          </cell>
          <cell r="Q70">
            <v>1.0349999999999999</v>
          </cell>
          <cell r="R70">
            <v>1.1932356231980656</v>
          </cell>
        </row>
        <row r="71">
          <cell r="A71">
            <v>2131</v>
          </cell>
          <cell r="B71" t="str">
            <v>SHIP MAINTENANCE DRY DOCK</v>
          </cell>
          <cell r="C71" t="str">
            <v>SF</v>
          </cell>
          <cell r="D71" t="str">
            <v>S</v>
          </cell>
          <cell r="E71"/>
          <cell r="F71">
            <v>1.0209999999999999</v>
          </cell>
          <cell r="G71">
            <v>1.0269999999999999</v>
          </cell>
          <cell r="H71">
            <v>1.0029999999999999</v>
          </cell>
          <cell r="I71"/>
          <cell r="J71"/>
          <cell r="K71"/>
          <cell r="L71"/>
          <cell r="M71"/>
          <cell r="N71">
            <v>1.0029999999999999</v>
          </cell>
          <cell r="O71">
            <v>1.0209999999999999</v>
          </cell>
          <cell r="P71">
            <v>1.032</v>
          </cell>
          <cell r="Q71">
            <v>1.0349999999999999</v>
          </cell>
          <cell r="R71">
            <v>1.1503866704650523</v>
          </cell>
        </row>
        <row r="72">
          <cell r="A72">
            <v>2134</v>
          </cell>
          <cell r="B72" t="str">
            <v>MARINE MAINTENANCE SUPPORT FACILITY</v>
          </cell>
          <cell r="C72" t="str">
            <v>SF</v>
          </cell>
          <cell r="D72" t="str">
            <v>B</v>
          </cell>
          <cell r="E72"/>
          <cell r="F72">
            <v>1.0209999999999999</v>
          </cell>
          <cell r="G72">
            <v>1.0269999999999999</v>
          </cell>
          <cell r="H72"/>
          <cell r="I72"/>
          <cell r="J72">
            <v>1.0049999999999999</v>
          </cell>
          <cell r="K72"/>
          <cell r="L72"/>
          <cell r="M72"/>
          <cell r="N72">
            <v>1.0029999999999999</v>
          </cell>
          <cell r="O72"/>
          <cell r="P72">
            <v>1.032</v>
          </cell>
          <cell r="Q72">
            <v>1.0349999999999999</v>
          </cell>
          <cell r="R72">
            <v>1.12897214704308</v>
          </cell>
        </row>
        <row r="73">
          <cell r="A73">
            <v>2152</v>
          </cell>
          <cell r="B73" t="str">
            <v>WEAPON MAINTENANCE SHOP, DEPOT</v>
          </cell>
          <cell r="C73" t="str">
            <v>SF</v>
          </cell>
          <cell r="D73" t="str">
            <v>B</v>
          </cell>
          <cell r="E73"/>
          <cell r="F73">
            <v>1.0209999999999999</v>
          </cell>
          <cell r="G73">
            <v>1.0269999999999999</v>
          </cell>
          <cell r="H73">
            <v>1.0029999999999999</v>
          </cell>
          <cell r="I73">
            <v>1.0289999999999999</v>
          </cell>
          <cell r="J73">
            <v>1.0049999999999999</v>
          </cell>
          <cell r="K73"/>
          <cell r="L73"/>
          <cell r="M73">
            <v>1.0029999999999999</v>
          </cell>
          <cell r="N73">
            <v>1.0029999999999999</v>
          </cell>
          <cell r="O73">
            <v>1.0209999999999999</v>
          </cell>
          <cell r="P73">
            <v>1.032</v>
          </cell>
          <cell r="Q73">
            <v>1.0349999999999999</v>
          </cell>
          <cell r="R73">
            <v>1.1932356231980656</v>
          </cell>
        </row>
        <row r="74">
          <cell r="A74">
            <v>2154</v>
          </cell>
          <cell r="B74" t="str">
            <v>WEAPON MAINTENANCE FACILITY, DEPOT</v>
          </cell>
          <cell r="C74" t="str">
            <v>SF</v>
          </cell>
          <cell r="D74" t="str">
            <v>S</v>
          </cell>
          <cell r="E74"/>
          <cell r="F74">
            <v>1.0209999999999999</v>
          </cell>
          <cell r="G74">
            <v>1.0269999999999999</v>
          </cell>
          <cell r="H74"/>
          <cell r="I74"/>
          <cell r="J74">
            <v>1.0049999999999999</v>
          </cell>
          <cell r="K74"/>
          <cell r="L74"/>
          <cell r="M74">
            <v>1.0029999999999999</v>
          </cell>
          <cell r="N74">
            <v>1.0029999999999999</v>
          </cell>
          <cell r="O74">
            <v>1.0209999999999999</v>
          </cell>
          <cell r="P74">
            <v>1.032</v>
          </cell>
          <cell r="Q74">
            <v>1.0349999999999999</v>
          </cell>
          <cell r="R74">
            <v>1.1561386038173773</v>
          </cell>
        </row>
        <row r="75">
          <cell r="A75">
            <v>2161</v>
          </cell>
          <cell r="B75" t="str">
            <v>AMMUNITION MAINTENANCE SHOP</v>
          </cell>
          <cell r="C75" t="str">
            <v>SF</v>
          </cell>
          <cell r="D75" t="str">
            <v>S</v>
          </cell>
          <cell r="E75"/>
          <cell r="F75">
            <v>1.0209999999999999</v>
          </cell>
          <cell r="G75">
            <v>1.0269999999999999</v>
          </cell>
          <cell r="H75"/>
          <cell r="I75"/>
          <cell r="J75">
            <v>1.0049999999999999</v>
          </cell>
          <cell r="K75"/>
          <cell r="L75"/>
          <cell r="M75">
            <v>1.0029999999999999</v>
          </cell>
          <cell r="N75">
            <v>1.0029999999999999</v>
          </cell>
          <cell r="O75">
            <v>1.0209999999999999</v>
          </cell>
          <cell r="P75">
            <v>1.032</v>
          </cell>
          <cell r="Q75">
            <v>1.0349999999999999</v>
          </cell>
          <cell r="R75">
            <v>1.1561386038173773</v>
          </cell>
        </row>
        <row r="76">
          <cell r="A76">
            <v>2162</v>
          </cell>
          <cell r="B76" t="str">
            <v>AMMUNITION MAINTENANCE SHOP, DEPOT</v>
          </cell>
          <cell r="C76" t="str">
            <v>SF</v>
          </cell>
          <cell r="D76" t="str">
            <v>S</v>
          </cell>
          <cell r="E76"/>
          <cell r="F76">
            <v>1.0209999999999999</v>
          </cell>
          <cell r="G76">
            <v>1.0269999999999999</v>
          </cell>
          <cell r="H76"/>
          <cell r="I76"/>
          <cell r="J76">
            <v>1.0049999999999999</v>
          </cell>
          <cell r="K76"/>
          <cell r="L76"/>
          <cell r="M76">
            <v>1.0029999999999999</v>
          </cell>
          <cell r="N76">
            <v>1.0029999999999999</v>
          </cell>
          <cell r="O76">
            <v>1.0209999999999999</v>
          </cell>
          <cell r="P76">
            <v>1.032</v>
          </cell>
          <cell r="Q76">
            <v>1.0349999999999999</v>
          </cell>
          <cell r="R76">
            <v>1.1561386038173773</v>
          </cell>
        </row>
        <row r="77">
          <cell r="A77">
            <v>2163</v>
          </cell>
          <cell r="B77" t="str">
            <v>AMMUNITION MAINTENANCE FACILITY, DEPOT</v>
          </cell>
          <cell r="C77" t="str">
            <v>SF</v>
          </cell>
          <cell r="D77" t="str">
            <v>S</v>
          </cell>
          <cell r="E77"/>
          <cell r="F77">
            <v>1.0209999999999999</v>
          </cell>
          <cell r="G77">
            <v>1.0269999999999999</v>
          </cell>
          <cell r="H77"/>
          <cell r="I77"/>
          <cell r="J77">
            <v>1.0049999999999999</v>
          </cell>
          <cell r="K77"/>
          <cell r="L77"/>
          <cell r="M77">
            <v>1.0029999999999999</v>
          </cell>
          <cell r="N77">
            <v>1.0029999999999999</v>
          </cell>
          <cell r="O77">
            <v>1.0209999999999999</v>
          </cell>
          <cell r="P77">
            <v>1.032</v>
          </cell>
          <cell r="Q77">
            <v>1.0349999999999999</v>
          </cell>
          <cell r="R77">
            <v>1.1561386038173773</v>
          </cell>
        </row>
        <row r="78">
          <cell r="A78">
            <v>2173</v>
          </cell>
          <cell r="B78" t="str">
            <v>ELECTRONIC AND COMMUNICATION MAINTENANCE FACILITY</v>
          </cell>
          <cell r="C78" t="str">
            <v>EA</v>
          </cell>
          <cell r="D78" t="str">
            <v>S</v>
          </cell>
          <cell r="E78"/>
          <cell r="F78">
            <v>1.0209999999999999</v>
          </cell>
          <cell r="G78">
            <v>1.0269999999999999</v>
          </cell>
          <cell r="H78"/>
          <cell r="I78"/>
          <cell r="J78"/>
          <cell r="K78"/>
          <cell r="L78"/>
          <cell r="M78"/>
          <cell r="N78"/>
          <cell r="O78"/>
          <cell r="P78"/>
          <cell r="Q78"/>
          <cell r="R78">
            <v>1.0485669999999998</v>
          </cell>
        </row>
        <row r="79">
          <cell r="A79">
            <v>2191</v>
          </cell>
          <cell r="B79" t="str">
            <v>FACILITY ENGINEER MAINTENANCE SHOP</v>
          </cell>
          <cell r="C79" t="str">
            <v>SF</v>
          </cell>
          <cell r="D79" t="str">
            <v>B</v>
          </cell>
          <cell r="E79">
            <v>1.0740000000000001</v>
          </cell>
          <cell r="F79">
            <v>1.0209999999999999</v>
          </cell>
          <cell r="G79">
            <v>1.0269999999999999</v>
          </cell>
          <cell r="H79"/>
          <cell r="I79"/>
          <cell r="J79">
            <v>1.0049999999999999</v>
          </cell>
          <cell r="K79"/>
          <cell r="L79"/>
          <cell r="M79">
            <v>1.0029999999999999</v>
          </cell>
          <cell r="N79">
            <v>1.0029999999999999</v>
          </cell>
          <cell r="O79">
            <v>1.0209999999999999</v>
          </cell>
          <cell r="P79">
            <v>1.032</v>
          </cell>
          <cell r="Q79">
            <v>1.0349999999999999</v>
          </cell>
          <cell r="R79">
            <v>1.2416928604998634</v>
          </cell>
        </row>
        <row r="80">
          <cell r="A80">
            <v>2192</v>
          </cell>
          <cell r="B80" t="str">
            <v>FACILITY ENGINEER MAINTENANCE FACILITY</v>
          </cell>
          <cell r="C80" t="str">
            <v>EA</v>
          </cell>
          <cell r="D80" t="str">
            <v>S</v>
          </cell>
          <cell r="E80"/>
          <cell r="F80">
            <v>1.0209999999999999</v>
          </cell>
          <cell r="G80">
            <v>1.0269999999999999</v>
          </cell>
          <cell r="H80"/>
          <cell r="I80"/>
          <cell r="J80"/>
          <cell r="K80"/>
          <cell r="L80"/>
          <cell r="M80"/>
          <cell r="N80">
            <v>1.0029999999999999</v>
          </cell>
          <cell r="O80"/>
          <cell r="P80"/>
          <cell r="Q80"/>
          <cell r="R80">
            <v>1.0517127009999996</v>
          </cell>
        </row>
        <row r="81">
          <cell r="A81">
            <v>2211</v>
          </cell>
          <cell r="B81" t="str">
            <v>AIRCRAFT PRODUCTION PLANT</v>
          </cell>
          <cell r="C81" t="str">
            <v>SF</v>
          </cell>
          <cell r="D81" t="str">
            <v>B</v>
          </cell>
          <cell r="E81"/>
          <cell r="F81">
            <v>1.0209999999999999</v>
          </cell>
          <cell r="G81">
            <v>1.0269999999999999</v>
          </cell>
          <cell r="H81">
            <v>1.0029999999999999</v>
          </cell>
          <cell r="I81">
            <v>1.0289999999999999</v>
          </cell>
          <cell r="J81">
            <v>1.0049999999999999</v>
          </cell>
          <cell r="K81"/>
          <cell r="L81"/>
          <cell r="M81">
            <v>1.0029999999999999</v>
          </cell>
          <cell r="N81">
            <v>1.0029999999999999</v>
          </cell>
          <cell r="O81">
            <v>1.0209999999999999</v>
          </cell>
          <cell r="P81">
            <v>1.032</v>
          </cell>
          <cell r="Q81">
            <v>1.0349999999999999</v>
          </cell>
          <cell r="R81">
            <v>1.1932356231980656</v>
          </cell>
        </row>
        <row r="82">
          <cell r="A82">
            <v>2221</v>
          </cell>
          <cell r="B82" t="str">
            <v>MISSILE PRODUCTION PLANT</v>
          </cell>
          <cell r="C82" t="str">
            <v>SF</v>
          </cell>
          <cell r="D82" t="str">
            <v>B</v>
          </cell>
          <cell r="E82"/>
          <cell r="F82">
            <v>1.0209999999999999</v>
          </cell>
          <cell r="G82">
            <v>1.0269999999999999</v>
          </cell>
          <cell r="H82">
            <v>1.0029999999999999</v>
          </cell>
          <cell r="I82">
            <v>1.0289999999999999</v>
          </cell>
          <cell r="J82">
            <v>1.0049999999999999</v>
          </cell>
          <cell r="K82"/>
          <cell r="L82"/>
          <cell r="M82">
            <v>1.0029999999999999</v>
          </cell>
          <cell r="N82">
            <v>1.0029999999999999</v>
          </cell>
          <cell r="O82">
            <v>1.0209999999999999</v>
          </cell>
          <cell r="P82">
            <v>1.032</v>
          </cell>
          <cell r="Q82">
            <v>1.0349999999999999</v>
          </cell>
          <cell r="R82">
            <v>1.1932356231980656</v>
          </cell>
        </row>
        <row r="83">
          <cell r="A83">
            <v>2231</v>
          </cell>
          <cell r="B83" t="str">
            <v>SHIP PRODUCTION PLANT</v>
          </cell>
          <cell r="C83" t="str">
            <v>SF</v>
          </cell>
          <cell r="D83" t="str">
            <v>B</v>
          </cell>
          <cell r="E83"/>
          <cell r="F83">
            <v>1.0209999999999999</v>
          </cell>
          <cell r="G83">
            <v>1.0269999999999999</v>
          </cell>
          <cell r="H83">
            <v>1.0029999999999999</v>
          </cell>
          <cell r="I83">
            <v>1.0289999999999999</v>
          </cell>
          <cell r="J83">
            <v>1.0049999999999999</v>
          </cell>
          <cell r="K83"/>
          <cell r="L83"/>
          <cell r="M83">
            <v>1.0029999999999999</v>
          </cell>
          <cell r="N83">
            <v>1.0029999999999999</v>
          </cell>
          <cell r="O83">
            <v>1.0209999999999999</v>
          </cell>
          <cell r="P83">
            <v>1.032</v>
          </cell>
          <cell r="Q83">
            <v>1.0349999999999999</v>
          </cell>
          <cell r="R83">
            <v>1.1932356231980656</v>
          </cell>
        </row>
        <row r="84">
          <cell r="A84">
            <v>2241</v>
          </cell>
          <cell r="B84" t="str">
            <v>TANK/AUTOMOTIVE PRODUCTION PLANT</v>
          </cell>
          <cell r="C84" t="str">
            <v>SF</v>
          </cell>
          <cell r="D84" t="str">
            <v>B</v>
          </cell>
          <cell r="E84"/>
          <cell r="F84">
            <v>1.0209999999999999</v>
          </cell>
          <cell r="G84">
            <v>1.0269999999999999</v>
          </cell>
          <cell r="H84">
            <v>1.0029999999999999</v>
          </cell>
          <cell r="I84">
            <v>1.0289999999999999</v>
          </cell>
          <cell r="J84">
            <v>1.0049999999999999</v>
          </cell>
          <cell r="K84"/>
          <cell r="L84"/>
          <cell r="M84">
            <v>1.0029999999999999</v>
          </cell>
          <cell r="N84">
            <v>1.0029999999999999</v>
          </cell>
          <cell r="O84">
            <v>1.0209999999999999</v>
          </cell>
          <cell r="P84">
            <v>1.032</v>
          </cell>
          <cell r="Q84">
            <v>1.0349999999999999</v>
          </cell>
          <cell r="R84">
            <v>1.1932356231980656</v>
          </cell>
        </row>
        <row r="85">
          <cell r="A85">
            <v>2242</v>
          </cell>
          <cell r="B85" t="str">
            <v>TANK/AUTOMOTIVE PRODUCTION FACILITY</v>
          </cell>
          <cell r="C85" t="str">
            <v>SF</v>
          </cell>
          <cell r="D85" t="str">
            <v>S</v>
          </cell>
          <cell r="E85"/>
          <cell r="F85">
            <v>1.0209999999999999</v>
          </cell>
          <cell r="G85">
            <v>1.0269999999999999</v>
          </cell>
          <cell r="H85"/>
          <cell r="I85"/>
          <cell r="J85"/>
          <cell r="K85"/>
          <cell r="L85"/>
          <cell r="M85"/>
          <cell r="N85"/>
          <cell r="O85"/>
          <cell r="P85">
            <v>1.032</v>
          </cell>
          <cell r="Q85">
            <v>1.0349999999999999</v>
          </cell>
          <cell r="R85">
            <v>1.1199953840399997</v>
          </cell>
        </row>
        <row r="86">
          <cell r="A86">
            <v>2251</v>
          </cell>
          <cell r="B86" t="str">
            <v>WEAPON PRODUCTION PLANT</v>
          </cell>
          <cell r="C86" t="str">
            <v>SF</v>
          </cell>
          <cell r="D86" t="str">
            <v>B</v>
          </cell>
          <cell r="E86"/>
          <cell r="F86">
            <v>1.0209999999999999</v>
          </cell>
          <cell r="G86">
            <v>1.0269999999999999</v>
          </cell>
          <cell r="H86">
            <v>1.0029999999999999</v>
          </cell>
          <cell r="I86">
            <v>1.0289999999999999</v>
          </cell>
          <cell r="J86">
            <v>1.0049999999999999</v>
          </cell>
          <cell r="K86"/>
          <cell r="L86"/>
          <cell r="M86">
            <v>1.0029999999999999</v>
          </cell>
          <cell r="N86">
            <v>1.0029999999999999</v>
          </cell>
          <cell r="O86">
            <v>1.0209999999999999</v>
          </cell>
          <cell r="P86">
            <v>1.032</v>
          </cell>
          <cell r="Q86">
            <v>1.0349999999999999</v>
          </cell>
          <cell r="R86">
            <v>1.1932356231980656</v>
          </cell>
        </row>
        <row r="87">
          <cell r="A87">
            <v>2252</v>
          </cell>
          <cell r="B87" t="str">
            <v>WEAPON PRODUCTION FACILITY</v>
          </cell>
          <cell r="C87" t="str">
            <v>SF</v>
          </cell>
          <cell r="D87" t="str">
            <v>S</v>
          </cell>
          <cell r="E87"/>
          <cell r="F87">
            <v>1.0209999999999999</v>
          </cell>
          <cell r="G87">
            <v>1.0269999999999999</v>
          </cell>
          <cell r="H87">
            <v>1.0029999999999999</v>
          </cell>
          <cell r="I87">
            <v>1.0289999999999999</v>
          </cell>
          <cell r="J87">
            <v>1.0049999999999999</v>
          </cell>
          <cell r="K87"/>
          <cell r="L87"/>
          <cell r="M87">
            <v>1.0029999999999999</v>
          </cell>
          <cell r="N87">
            <v>1.0029999999999999</v>
          </cell>
          <cell r="O87">
            <v>1.0209999999999999</v>
          </cell>
          <cell r="P87">
            <v>1.032</v>
          </cell>
          <cell r="Q87">
            <v>1.0349999999999999</v>
          </cell>
          <cell r="R87">
            <v>1.1932356231980656</v>
          </cell>
        </row>
        <row r="88">
          <cell r="A88">
            <v>2261</v>
          </cell>
          <cell r="B88" t="str">
            <v>AMMUNITION PRODUCTION PLANT</v>
          </cell>
          <cell r="C88" t="str">
            <v>SF</v>
          </cell>
          <cell r="D88" t="str">
            <v>B</v>
          </cell>
          <cell r="E88"/>
          <cell r="F88">
            <v>1.0209999999999999</v>
          </cell>
          <cell r="G88">
            <v>1.0269999999999999</v>
          </cell>
          <cell r="H88">
            <v>1.0029999999999999</v>
          </cell>
          <cell r="I88">
            <v>1.0289999999999999</v>
          </cell>
          <cell r="J88">
            <v>1.0049999999999999</v>
          </cell>
          <cell r="K88"/>
          <cell r="L88"/>
          <cell r="M88">
            <v>1.0029999999999999</v>
          </cell>
          <cell r="N88">
            <v>1.0029999999999999</v>
          </cell>
          <cell r="O88">
            <v>1.0209999999999999</v>
          </cell>
          <cell r="P88">
            <v>1.032</v>
          </cell>
          <cell r="Q88">
            <v>1.0349999999999999</v>
          </cell>
          <cell r="R88">
            <v>1.1932356231980656</v>
          </cell>
        </row>
        <row r="89">
          <cell r="A89">
            <v>2262</v>
          </cell>
          <cell r="B89" t="str">
            <v>AMMUNITION PRODUCTION FACILITY</v>
          </cell>
          <cell r="C89" t="str">
            <v>SF</v>
          </cell>
          <cell r="D89" t="str">
            <v>S</v>
          </cell>
          <cell r="E89"/>
          <cell r="F89">
            <v>1.0209999999999999</v>
          </cell>
          <cell r="G89"/>
          <cell r="H89"/>
          <cell r="I89"/>
          <cell r="J89"/>
          <cell r="K89"/>
          <cell r="L89"/>
          <cell r="M89"/>
          <cell r="N89"/>
          <cell r="O89"/>
          <cell r="P89">
            <v>1.032</v>
          </cell>
          <cell r="Q89">
            <v>1.0349999999999999</v>
          </cell>
          <cell r="R89">
            <v>1.0905505199999999</v>
          </cell>
        </row>
        <row r="90">
          <cell r="A90">
            <v>2271</v>
          </cell>
          <cell r="B90" t="str">
            <v>ELECTRONIC AND COMMUNICATION PRODUCTION PLANT</v>
          </cell>
          <cell r="C90" t="str">
            <v>SF</v>
          </cell>
          <cell r="D90" t="str">
            <v>B</v>
          </cell>
          <cell r="E90"/>
          <cell r="F90">
            <v>1.0209999999999999</v>
          </cell>
          <cell r="G90">
            <v>1.0269999999999999</v>
          </cell>
          <cell r="H90">
            <v>1.0029999999999999</v>
          </cell>
          <cell r="I90">
            <v>1.0289999999999999</v>
          </cell>
          <cell r="J90">
            <v>1.0049999999999999</v>
          </cell>
          <cell r="K90"/>
          <cell r="L90"/>
          <cell r="M90">
            <v>1.0029999999999999</v>
          </cell>
          <cell r="N90">
            <v>1.0029999999999999</v>
          </cell>
          <cell r="O90">
            <v>1.0209999999999999</v>
          </cell>
          <cell r="P90">
            <v>1.032</v>
          </cell>
          <cell r="Q90">
            <v>1.0349999999999999</v>
          </cell>
          <cell r="R90">
            <v>1.1932356231980656</v>
          </cell>
        </row>
        <row r="91">
          <cell r="A91">
            <v>2281</v>
          </cell>
          <cell r="B91" t="str">
            <v>MISCELLANEOUS SUPPORT PRODUCTION PLANT</v>
          </cell>
          <cell r="C91" t="str">
            <v>SF</v>
          </cell>
          <cell r="D91" t="str">
            <v>B</v>
          </cell>
          <cell r="E91"/>
          <cell r="F91">
            <v>1.0209999999999999</v>
          </cell>
          <cell r="G91">
            <v>1.0269999999999999</v>
          </cell>
          <cell r="H91">
            <v>1.0029999999999999</v>
          </cell>
          <cell r="I91">
            <v>1.0289999999999999</v>
          </cell>
          <cell r="J91">
            <v>1.0049999999999999</v>
          </cell>
          <cell r="K91"/>
          <cell r="L91"/>
          <cell r="M91">
            <v>1.0029999999999999</v>
          </cell>
          <cell r="N91">
            <v>1.0029999999999999</v>
          </cell>
          <cell r="O91">
            <v>1.0209999999999999</v>
          </cell>
          <cell r="P91">
            <v>1.032</v>
          </cell>
          <cell r="Q91">
            <v>1.0349999999999999</v>
          </cell>
          <cell r="R91">
            <v>1.1932356231980656</v>
          </cell>
        </row>
        <row r="92">
          <cell r="A92">
            <v>2291</v>
          </cell>
          <cell r="B92" t="str">
            <v>CONSTRUCTION MATERIAL PRODUCTION PLANT</v>
          </cell>
          <cell r="C92" t="str">
            <v>EA</v>
          </cell>
          <cell r="D92" t="str">
            <v>S</v>
          </cell>
          <cell r="E92"/>
          <cell r="F92">
            <v>1.0209999999999999</v>
          </cell>
          <cell r="G92">
            <v>1.0269999999999999</v>
          </cell>
          <cell r="H92"/>
          <cell r="I92"/>
          <cell r="J92"/>
          <cell r="K92"/>
          <cell r="L92"/>
          <cell r="M92"/>
          <cell r="N92">
            <v>1.0029999999999999</v>
          </cell>
          <cell r="O92"/>
          <cell r="P92">
            <v>1.032</v>
          </cell>
          <cell r="Q92">
            <v>1.0349999999999999</v>
          </cell>
          <cell r="R92">
            <v>1.1233553701921195</v>
          </cell>
        </row>
        <row r="93">
          <cell r="A93">
            <v>3101</v>
          </cell>
          <cell r="B93" t="str">
            <v>RDT&amp;E LABORATORY</v>
          </cell>
          <cell r="C93" t="str">
            <v>SF</v>
          </cell>
          <cell r="D93" t="str">
            <v>B</v>
          </cell>
          <cell r="E93">
            <v>1.0740000000000001</v>
          </cell>
          <cell r="F93">
            <v>1.0209999999999999</v>
          </cell>
          <cell r="G93">
            <v>1.0269999999999999</v>
          </cell>
          <cell r="H93">
            <v>1.0029999999999999</v>
          </cell>
          <cell r="I93">
            <v>1.0289999999999999</v>
          </cell>
          <cell r="J93">
            <v>1.0049999999999999</v>
          </cell>
          <cell r="K93">
            <v>1.026</v>
          </cell>
          <cell r="L93">
            <v>1.0129999999999999</v>
          </cell>
          <cell r="M93">
            <v>1.0029999999999999</v>
          </cell>
          <cell r="N93">
            <v>1.0029999999999999</v>
          </cell>
          <cell r="O93">
            <v>1.0209999999999999</v>
          </cell>
          <cell r="P93">
            <v>1.032</v>
          </cell>
          <cell r="Q93">
            <v>1.0349999999999999</v>
          </cell>
          <cell r="R93">
            <v>1.3319480854780448</v>
          </cell>
        </row>
        <row r="94">
          <cell r="A94">
            <v>3102</v>
          </cell>
          <cell r="B94" t="str">
            <v>MEDICAL RESEARCH LABORATORY</v>
          </cell>
          <cell r="C94" t="str">
            <v>SF</v>
          </cell>
          <cell r="D94" t="str">
            <v>B</v>
          </cell>
          <cell r="E94">
            <v>1.0740000000000001</v>
          </cell>
          <cell r="F94">
            <v>1.0209999999999999</v>
          </cell>
          <cell r="G94">
            <v>1.0269999999999999</v>
          </cell>
          <cell r="H94">
            <v>1.0029999999999999</v>
          </cell>
          <cell r="I94">
            <v>1.0289999999999999</v>
          </cell>
          <cell r="J94">
            <v>1.0049999999999999</v>
          </cell>
          <cell r="K94">
            <v>1.026</v>
          </cell>
          <cell r="L94">
            <v>1.0129999999999999</v>
          </cell>
          <cell r="M94">
            <v>1.0029999999999999</v>
          </cell>
          <cell r="N94">
            <v>1.0029999999999999</v>
          </cell>
          <cell r="O94">
            <v>1.0209999999999999</v>
          </cell>
          <cell r="P94">
            <v>1.032</v>
          </cell>
          <cell r="Q94">
            <v>1.0349999999999999</v>
          </cell>
          <cell r="R94">
            <v>1.3319480854780448</v>
          </cell>
        </row>
        <row r="95">
          <cell r="A95">
            <v>3103</v>
          </cell>
          <cell r="B95" t="str">
            <v>BIOSAFETY LEVEL 3 LABORATORY</v>
          </cell>
          <cell r="C95" t="str">
            <v>SF</v>
          </cell>
          <cell r="D95" t="str">
            <v>B</v>
          </cell>
          <cell r="E95">
            <v>1.0740000000000001</v>
          </cell>
          <cell r="F95">
            <v>1.0209999999999999</v>
          </cell>
          <cell r="G95">
            <v>1.0269999999999999</v>
          </cell>
          <cell r="H95">
            <v>1.0029999999999999</v>
          </cell>
          <cell r="I95">
            <v>1.0289999999999999</v>
          </cell>
          <cell r="J95">
            <v>1.0049999999999999</v>
          </cell>
          <cell r="K95">
            <v>1.026</v>
          </cell>
          <cell r="L95">
            <v>1.0129999999999999</v>
          </cell>
          <cell r="M95">
            <v>1.0029999999999999</v>
          </cell>
          <cell r="N95">
            <v>1.0029999999999999</v>
          </cell>
          <cell r="O95">
            <v>1.0209999999999999</v>
          </cell>
          <cell r="P95">
            <v>1.032</v>
          </cell>
          <cell r="Q95">
            <v>1.0349999999999999</v>
          </cell>
          <cell r="R95">
            <v>1.3319480854780448</v>
          </cell>
        </row>
        <row r="96">
          <cell r="A96">
            <v>3104</v>
          </cell>
          <cell r="B96" t="str">
            <v>BIOSAFETY LEVEL 4 LABORATORY</v>
          </cell>
          <cell r="C96" t="str">
            <v>SF</v>
          </cell>
          <cell r="D96" t="str">
            <v>B</v>
          </cell>
          <cell r="E96">
            <v>1.0740000000000001</v>
          </cell>
          <cell r="F96">
            <v>1.0209999999999999</v>
          </cell>
          <cell r="G96">
            <v>1.0269999999999999</v>
          </cell>
          <cell r="H96">
            <v>1.0029999999999999</v>
          </cell>
          <cell r="I96">
            <v>1.0289999999999999</v>
          </cell>
          <cell r="J96">
            <v>1.0049999999999999</v>
          </cell>
          <cell r="K96">
            <v>1.026</v>
          </cell>
          <cell r="L96">
            <v>1.0129999999999999</v>
          </cell>
          <cell r="M96">
            <v>1.0029999999999999</v>
          </cell>
          <cell r="N96">
            <v>1.0029999999999999</v>
          </cell>
          <cell r="O96">
            <v>1.0209999999999999</v>
          </cell>
          <cell r="P96">
            <v>1.032</v>
          </cell>
          <cell r="Q96">
            <v>1.0349999999999999</v>
          </cell>
          <cell r="R96">
            <v>1.3319480854780448</v>
          </cell>
        </row>
        <row r="97">
          <cell r="A97">
            <v>3131</v>
          </cell>
          <cell r="B97" t="str">
            <v>SHIP AND MARINE RDT&amp;E FACILITY</v>
          </cell>
          <cell r="C97" t="str">
            <v>SF</v>
          </cell>
          <cell r="D97" t="str">
            <v>B</v>
          </cell>
          <cell r="E97">
            <v>1.0740000000000001</v>
          </cell>
          <cell r="F97">
            <v>1.0209999999999999</v>
          </cell>
          <cell r="G97">
            <v>1.0269999999999999</v>
          </cell>
          <cell r="H97">
            <v>1.0029999999999999</v>
          </cell>
          <cell r="I97">
            <v>1.0289999999999999</v>
          </cell>
          <cell r="J97">
            <v>1.0049999999999999</v>
          </cell>
          <cell r="K97">
            <v>1.026</v>
          </cell>
          <cell r="L97">
            <v>1.0129999999999999</v>
          </cell>
          <cell r="M97">
            <v>1.0029999999999999</v>
          </cell>
          <cell r="N97">
            <v>1.0029999999999999</v>
          </cell>
          <cell r="O97">
            <v>1.0209999999999999</v>
          </cell>
          <cell r="P97">
            <v>1.032</v>
          </cell>
          <cell r="Q97">
            <v>1.0349999999999999</v>
          </cell>
          <cell r="R97">
            <v>1.3319480854780448</v>
          </cell>
        </row>
        <row r="98">
          <cell r="A98">
            <v>3141</v>
          </cell>
          <cell r="B98" t="str">
            <v>TANK AND AUTOMOTIVE RDT&amp;E FACILITY</v>
          </cell>
          <cell r="C98" t="str">
            <v>SF</v>
          </cell>
          <cell r="D98" t="str">
            <v>B</v>
          </cell>
          <cell r="E98">
            <v>1.0740000000000001</v>
          </cell>
          <cell r="F98">
            <v>1.0209999999999999</v>
          </cell>
          <cell r="G98">
            <v>1.0269999999999999</v>
          </cell>
          <cell r="H98">
            <v>1.0029999999999999</v>
          </cell>
          <cell r="I98">
            <v>1.0289999999999999</v>
          </cell>
          <cell r="J98">
            <v>1.0049999999999999</v>
          </cell>
          <cell r="K98">
            <v>1.026</v>
          </cell>
          <cell r="L98">
            <v>1.0129999999999999</v>
          </cell>
          <cell r="M98">
            <v>1.0029999999999999</v>
          </cell>
          <cell r="N98">
            <v>1.0029999999999999</v>
          </cell>
          <cell r="O98">
            <v>1.0209999999999999</v>
          </cell>
          <cell r="P98">
            <v>1.032</v>
          </cell>
          <cell r="Q98">
            <v>1.0349999999999999</v>
          </cell>
          <cell r="R98">
            <v>1.3319480854780448</v>
          </cell>
        </row>
        <row r="99">
          <cell r="A99">
            <v>3151</v>
          </cell>
          <cell r="B99" t="str">
            <v>WEAPONS RDT&amp;E FACILITY</v>
          </cell>
          <cell r="C99" t="str">
            <v>SF</v>
          </cell>
          <cell r="D99" t="str">
            <v>B</v>
          </cell>
          <cell r="E99">
            <v>1.0740000000000001</v>
          </cell>
          <cell r="F99">
            <v>1.0209999999999999</v>
          </cell>
          <cell r="G99">
            <v>1.0269999999999999</v>
          </cell>
          <cell r="H99">
            <v>1.0029999999999999</v>
          </cell>
          <cell r="I99">
            <v>1.0289999999999999</v>
          </cell>
          <cell r="J99">
            <v>1.0049999999999999</v>
          </cell>
          <cell r="K99">
            <v>1.026</v>
          </cell>
          <cell r="L99">
            <v>1.0129999999999999</v>
          </cell>
          <cell r="M99">
            <v>1.0029999999999999</v>
          </cell>
          <cell r="N99">
            <v>1.0029999999999999</v>
          </cell>
          <cell r="O99">
            <v>1.0209999999999999</v>
          </cell>
          <cell r="P99">
            <v>1.032</v>
          </cell>
          <cell r="Q99">
            <v>1.0349999999999999</v>
          </cell>
          <cell r="R99">
            <v>1.3319480854780448</v>
          </cell>
        </row>
        <row r="100">
          <cell r="A100">
            <v>3161</v>
          </cell>
          <cell r="B100" t="str">
            <v>AMMUNITION, EXPLOSIVE, AND TOXIC RDT&amp;E FACILITY</v>
          </cell>
          <cell r="C100" t="str">
            <v>SF</v>
          </cell>
          <cell r="D100" t="str">
            <v>B</v>
          </cell>
          <cell r="E100">
            <v>1.0740000000000001</v>
          </cell>
          <cell r="F100">
            <v>1.0209999999999999</v>
          </cell>
          <cell r="G100">
            <v>1.0269999999999999</v>
          </cell>
          <cell r="H100">
            <v>1.0029999999999999</v>
          </cell>
          <cell r="I100">
            <v>1.0289999999999999</v>
          </cell>
          <cell r="J100">
            <v>1.0049999999999999</v>
          </cell>
          <cell r="K100">
            <v>1.026</v>
          </cell>
          <cell r="L100">
            <v>1.0129999999999999</v>
          </cell>
          <cell r="M100">
            <v>1.0029999999999999</v>
          </cell>
          <cell r="N100">
            <v>1.0029999999999999</v>
          </cell>
          <cell r="O100">
            <v>1.0209999999999999</v>
          </cell>
          <cell r="P100">
            <v>1.032</v>
          </cell>
          <cell r="Q100">
            <v>1.0349999999999999</v>
          </cell>
          <cell r="R100">
            <v>1.3319480854780448</v>
          </cell>
        </row>
        <row r="101">
          <cell r="A101">
            <v>3171</v>
          </cell>
          <cell r="B101" t="str">
            <v>ELECTRONIC AND COMMUNICATION RDT&amp;E FACILITY</v>
          </cell>
          <cell r="C101" t="str">
            <v>SF</v>
          </cell>
          <cell r="D101" t="str">
            <v>B</v>
          </cell>
          <cell r="E101">
            <v>1.0740000000000001</v>
          </cell>
          <cell r="F101">
            <v>1.0209999999999999</v>
          </cell>
          <cell r="G101">
            <v>1.0269999999999999</v>
          </cell>
          <cell r="H101">
            <v>1.0029999999999999</v>
          </cell>
          <cell r="I101">
            <v>1.0289999999999999</v>
          </cell>
          <cell r="J101">
            <v>1.0049999999999999</v>
          </cell>
          <cell r="K101">
            <v>1.026</v>
          </cell>
          <cell r="L101">
            <v>1.0129999999999999</v>
          </cell>
          <cell r="M101">
            <v>1.0029999999999999</v>
          </cell>
          <cell r="N101">
            <v>1.0029999999999999</v>
          </cell>
          <cell r="O101">
            <v>1.0209999999999999</v>
          </cell>
          <cell r="P101">
            <v>1.032</v>
          </cell>
          <cell r="Q101">
            <v>1.0349999999999999</v>
          </cell>
          <cell r="R101">
            <v>1.3319480854780448</v>
          </cell>
        </row>
        <row r="102">
          <cell r="A102">
            <v>3181</v>
          </cell>
          <cell r="B102" t="str">
            <v>PROPULSION RDT&amp;E FACILITY</v>
          </cell>
          <cell r="C102" t="str">
            <v>SF</v>
          </cell>
          <cell r="D102" t="str">
            <v>B</v>
          </cell>
          <cell r="E102">
            <v>1.0740000000000001</v>
          </cell>
          <cell r="F102">
            <v>1.0209999999999999</v>
          </cell>
          <cell r="G102"/>
          <cell r="H102">
            <v>1.0029999999999999</v>
          </cell>
          <cell r="I102">
            <v>1.0289999999999999</v>
          </cell>
          <cell r="J102">
            <v>1.0049999999999999</v>
          </cell>
          <cell r="K102">
            <v>1.026</v>
          </cell>
          <cell r="L102">
            <v>1.0129999999999999</v>
          </cell>
          <cell r="M102">
            <v>1.0029999999999999</v>
          </cell>
          <cell r="N102">
            <v>1.0029999999999999</v>
          </cell>
          <cell r="O102">
            <v>1.0209999999999999</v>
          </cell>
          <cell r="P102">
            <v>1.032</v>
          </cell>
          <cell r="Q102">
            <v>1.0349999999999999</v>
          </cell>
          <cell r="R102">
            <v>1.2969309498325658</v>
          </cell>
        </row>
        <row r="103">
          <cell r="A103">
            <v>3191</v>
          </cell>
          <cell r="B103" t="str">
            <v>MISCELLANEOUS ITEM AND EQUIPMENT RDT&amp;E FACILITY</v>
          </cell>
          <cell r="C103" t="str">
            <v>SF</v>
          </cell>
          <cell r="D103" t="str">
            <v>B</v>
          </cell>
          <cell r="E103">
            <v>1.0740000000000001</v>
          </cell>
          <cell r="F103">
            <v>1.0209999999999999</v>
          </cell>
          <cell r="G103">
            <v>1.0269999999999999</v>
          </cell>
          <cell r="H103">
            <v>1.0029999999999999</v>
          </cell>
          <cell r="I103">
            <v>1.0289999999999999</v>
          </cell>
          <cell r="J103">
            <v>1.0049999999999999</v>
          </cell>
          <cell r="K103">
            <v>1.026</v>
          </cell>
          <cell r="L103">
            <v>1.0129999999999999</v>
          </cell>
          <cell r="M103">
            <v>1.0029999999999999</v>
          </cell>
          <cell r="N103">
            <v>1.0029999999999999</v>
          </cell>
          <cell r="O103">
            <v>1.0209999999999999</v>
          </cell>
          <cell r="P103">
            <v>1.032</v>
          </cell>
          <cell r="Q103">
            <v>1.0349999999999999</v>
          </cell>
          <cell r="R103">
            <v>1.3319480854780448</v>
          </cell>
        </row>
        <row r="104">
          <cell r="A104">
            <v>3201</v>
          </cell>
          <cell r="B104" t="str">
            <v>UNDERWATER EQUIPMENT RDT&amp;E FACILITY</v>
          </cell>
          <cell r="C104" t="str">
            <v>SF</v>
          </cell>
          <cell r="D104" t="str">
            <v>B</v>
          </cell>
          <cell r="E104">
            <v>1.0740000000000001</v>
          </cell>
          <cell r="F104">
            <v>1.0209999999999999</v>
          </cell>
          <cell r="G104">
            <v>1.0269999999999999</v>
          </cell>
          <cell r="H104">
            <v>1.0029999999999999</v>
          </cell>
          <cell r="I104">
            <v>1.0289999999999999</v>
          </cell>
          <cell r="J104">
            <v>1.0049999999999999</v>
          </cell>
          <cell r="K104">
            <v>1.026</v>
          </cell>
          <cell r="L104">
            <v>1.0129999999999999</v>
          </cell>
          <cell r="M104">
            <v>1.0029999999999999</v>
          </cell>
          <cell r="N104">
            <v>1.0029999999999999</v>
          </cell>
          <cell r="O104">
            <v>1.0209999999999999</v>
          </cell>
          <cell r="P104">
            <v>1.032</v>
          </cell>
          <cell r="Q104">
            <v>1.0349999999999999</v>
          </cell>
          <cell r="R104">
            <v>1.3319480854780448</v>
          </cell>
        </row>
        <row r="105">
          <cell r="A105">
            <v>4114</v>
          </cell>
          <cell r="B105" t="str">
            <v>SMALL BULK STORAGE</v>
          </cell>
          <cell r="C105" t="str">
            <v>GA</v>
          </cell>
          <cell r="D105" t="str">
            <v>S</v>
          </cell>
          <cell r="E105"/>
          <cell r="F105">
            <v>1.0209999999999999</v>
          </cell>
          <cell r="G105"/>
          <cell r="H105"/>
          <cell r="I105"/>
          <cell r="J105"/>
          <cell r="K105"/>
          <cell r="L105"/>
          <cell r="M105"/>
          <cell r="N105"/>
          <cell r="O105"/>
          <cell r="P105"/>
          <cell r="Q105"/>
          <cell r="R105">
            <v>1.0209999999999999</v>
          </cell>
        </row>
        <row r="106">
          <cell r="A106">
            <v>4212</v>
          </cell>
          <cell r="B106" t="str">
            <v>INTERCONTINENTAL BALLISTIC MISSILE STORAGE FACILITY</v>
          </cell>
          <cell r="C106" t="str">
            <v>SF</v>
          </cell>
          <cell r="D106" t="str">
            <v>B</v>
          </cell>
          <cell r="E106"/>
          <cell r="F106">
            <v>1.0209999999999999</v>
          </cell>
          <cell r="G106">
            <v>1.0269999999999999</v>
          </cell>
          <cell r="H106">
            <v>1.0029999999999999</v>
          </cell>
          <cell r="I106">
            <v>1.0289999999999999</v>
          </cell>
          <cell r="J106">
            <v>1.0049999999999999</v>
          </cell>
          <cell r="K106"/>
          <cell r="L106"/>
          <cell r="M106">
            <v>1.0029999999999999</v>
          </cell>
          <cell r="N106">
            <v>1.0029999999999999</v>
          </cell>
          <cell r="O106">
            <v>1.0209999999999999</v>
          </cell>
          <cell r="P106">
            <v>1.032</v>
          </cell>
          <cell r="Q106">
            <v>1.0349999999999999</v>
          </cell>
          <cell r="R106">
            <v>1.1932356231980656</v>
          </cell>
        </row>
        <row r="107">
          <cell r="A107">
            <v>4231</v>
          </cell>
          <cell r="B107" t="str">
            <v>LIQUID PROPELLANT STORAGE, AMMUNITION RELATED</v>
          </cell>
          <cell r="C107" t="str">
            <v>GA</v>
          </cell>
          <cell r="D107" t="str">
            <v>S</v>
          </cell>
          <cell r="E107"/>
          <cell r="F107">
            <v>1.0209999999999999</v>
          </cell>
          <cell r="G107"/>
          <cell r="H107"/>
          <cell r="I107"/>
          <cell r="J107"/>
          <cell r="K107"/>
          <cell r="L107"/>
          <cell r="M107"/>
          <cell r="N107"/>
          <cell r="O107"/>
          <cell r="P107"/>
          <cell r="Q107"/>
          <cell r="R107">
            <v>1.0209999999999999</v>
          </cell>
        </row>
        <row r="108">
          <cell r="A108">
            <v>4251</v>
          </cell>
          <cell r="B108" t="str">
            <v>OPEN AMMUNITION STORAGE</v>
          </cell>
          <cell r="C108" t="str">
            <v>SY</v>
          </cell>
          <cell r="D108" t="str">
            <v>S</v>
          </cell>
          <cell r="E108"/>
          <cell r="F108">
            <v>1.0209999999999999</v>
          </cell>
          <cell r="G108"/>
          <cell r="H108"/>
          <cell r="I108"/>
          <cell r="J108"/>
          <cell r="K108"/>
          <cell r="L108"/>
          <cell r="M108"/>
          <cell r="N108"/>
          <cell r="O108"/>
          <cell r="P108">
            <v>1.032</v>
          </cell>
          <cell r="Q108">
            <v>1.0349999999999999</v>
          </cell>
          <cell r="R108">
            <v>1.0905505199999999</v>
          </cell>
        </row>
        <row r="109">
          <cell r="A109">
            <v>4311</v>
          </cell>
          <cell r="B109" t="str">
            <v>COLD STORAGE, DEPOT</v>
          </cell>
          <cell r="C109" t="str">
            <v>SF</v>
          </cell>
          <cell r="D109" t="str">
            <v>B</v>
          </cell>
          <cell r="E109"/>
          <cell r="F109">
            <v>1.0209999999999999</v>
          </cell>
          <cell r="G109">
            <v>1.0269999999999999</v>
          </cell>
          <cell r="H109">
            <v>1.0029999999999999</v>
          </cell>
          <cell r="I109">
            <v>1.0289999999999999</v>
          </cell>
          <cell r="J109">
            <v>1.0049999999999999</v>
          </cell>
          <cell r="K109"/>
          <cell r="L109"/>
          <cell r="M109">
            <v>1.0029999999999999</v>
          </cell>
          <cell r="N109">
            <v>1.0029999999999999</v>
          </cell>
          <cell r="O109"/>
          <cell r="P109">
            <v>1.032</v>
          </cell>
          <cell r="Q109">
            <v>1.0349999999999999</v>
          </cell>
          <cell r="R109">
            <v>1.168693068754227</v>
          </cell>
        </row>
        <row r="110">
          <cell r="A110">
            <v>4321</v>
          </cell>
          <cell r="B110" t="str">
            <v>COLD STORAGE, INSTALLATION</v>
          </cell>
          <cell r="C110" t="str">
            <v>SF</v>
          </cell>
          <cell r="D110" t="str">
            <v>B</v>
          </cell>
          <cell r="E110"/>
          <cell r="F110">
            <v>1.0209999999999999</v>
          </cell>
          <cell r="G110">
            <v>1.0269999999999999</v>
          </cell>
          <cell r="H110"/>
          <cell r="I110">
            <v>1.0289999999999999</v>
          </cell>
          <cell r="J110">
            <v>1.0049999999999999</v>
          </cell>
          <cell r="K110"/>
          <cell r="L110"/>
          <cell r="M110">
            <v>1.0029999999999999</v>
          </cell>
          <cell r="N110">
            <v>1.0029999999999999</v>
          </cell>
          <cell r="O110"/>
          <cell r="P110">
            <v>1.032</v>
          </cell>
          <cell r="Q110">
            <v>1.0349999999999999</v>
          </cell>
          <cell r="R110">
            <v>1.1651974763252515</v>
          </cell>
        </row>
        <row r="111">
          <cell r="A111">
            <v>4414</v>
          </cell>
          <cell r="B111" t="str">
            <v>CONTROLLED HUMIDITY STORAGE, DEPOT</v>
          </cell>
          <cell r="C111" t="str">
            <v>SF</v>
          </cell>
          <cell r="D111" t="str">
            <v>B</v>
          </cell>
          <cell r="E111"/>
          <cell r="F111">
            <v>1.0209999999999999</v>
          </cell>
          <cell r="G111">
            <v>1.0269999999999999</v>
          </cell>
          <cell r="H111">
            <v>1.0029999999999999</v>
          </cell>
          <cell r="I111">
            <v>1.0289999999999999</v>
          </cell>
          <cell r="J111">
            <v>1.0049999999999999</v>
          </cell>
          <cell r="K111"/>
          <cell r="L111"/>
          <cell r="M111">
            <v>1.0029999999999999</v>
          </cell>
          <cell r="N111">
            <v>1.0029999999999999</v>
          </cell>
          <cell r="O111"/>
          <cell r="P111">
            <v>1.032</v>
          </cell>
          <cell r="Q111">
            <v>1.0349999999999999</v>
          </cell>
          <cell r="R111">
            <v>1.168693068754227</v>
          </cell>
        </row>
        <row r="112">
          <cell r="A112">
            <v>4424</v>
          </cell>
          <cell r="B112" t="str">
            <v>CONTROLLED HUMIDITY STORAGE, INSTALLATION</v>
          </cell>
          <cell r="C112" t="str">
            <v>SF</v>
          </cell>
          <cell r="D112" t="str">
            <v>B</v>
          </cell>
          <cell r="E112"/>
          <cell r="F112">
            <v>1.0209999999999999</v>
          </cell>
          <cell r="G112">
            <v>1.0269999999999999</v>
          </cell>
          <cell r="H112">
            <v>1.0029999999999999</v>
          </cell>
          <cell r="I112">
            <v>1.0289999999999999</v>
          </cell>
          <cell r="J112">
            <v>1.0049999999999999</v>
          </cell>
          <cell r="K112"/>
          <cell r="L112"/>
          <cell r="M112">
            <v>1.0029999999999999</v>
          </cell>
          <cell r="N112">
            <v>1.0029999999999999</v>
          </cell>
          <cell r="O112"/>
          <cell r="P112">
            <v>1.032</v>
          </cell>
          <cell r="Q112">
            <v>1.0349999999999999</v>
          </cell>
          <cell r="R112">
            <v>1.168693068754227</v>
          </cell>
        </row>
        <row r="113">
          <cell r="A113">
            <v>4425</v>
          </cell>
          <cell r="B113" t="str">
            <v>VEHICLE STORAGE, COVERED</v>
          </cell>
          <cell r="C113" t="str">
            <v>SF</v>
          </cell>
          <cell r="D113" t="str">
            <v>B</v>
          </cell>
          <cell r="E113"/>
          <cell r="F113">
            <v>1.0209999999999999</v>
          </cell>
          <cell r="G113">
            <v>1.0269999999999999</v>
          </cell>
          <cell r="H113"/>
          <cell r="I113"/>
          <cell r="J113">
            <v>1.0049999999999999</v>
          </cell>
          <cell r="K113"/>
          <cell r="L113"/>
          <cell r="M113"/>
          <cell r="N113"/>
          <cell r="O113"/>
          <cell r="P113">
            <v>1.032</v>
          </cell>
          <cell r="Q113">
            <v>1.0349999999999999</v>
          </cell>
          <cell r="R113">
            <v>1.1255953609601996</v>
          </cell>
        </row>
        <row r="114">
          <cell r="A114">
            <v>4426</v>
          </cell>
          <cell r="B114" t="str">
            <v>STORAGE SILO, LOOSE MATERIAL</v>
          </cell>
          <cell r="C114" t="str">
            <v>SF</v>
          </cell>
          <cell r="D114" t="str">
            <v>B</v>
          </cell>
          <cell r="E114"/>
          <cell r="F114">
            <v>1.0209999999999999</v>
          </cell>
          <cell r="G114"/>
          <cell r="H114"/>
          <cell r="I114"/>
          <cell r="J114"/>
          <cell r="K114"/>
          <cell r="L114"/>
          <cell r="M114"/>
          <cell r="N114"/>
          <cell r="O114"/>
          <cell r="P114">
            <v>1.032</v>
          </cell>
          <cell r="Q114">
            <v>1.0349999999999999</v>
          </cell>
          <cell r="R114">
            <v>1.0905505199999999</v>
          </cell>
        </row>
        <row r="115">
          <cell r="A115">
            <v>4428</v>
          </cell>
          <cell r="B115" t="str">
            <v>STORAGE AND CUSTOMER SERVICE</v>
          </cell>
          <cell r="C115" t="str">
            <v>SF</v>
          </cell>
          <cell r="D115" t="str">
            <v>B</v>
          </cell>
          <cell r="E115"/>
          <cell r="F115">
            <v>1.0209999999999999</v>
          </cell>
          <cell r="G115"/>
          <cell r="H115"/>
          <cell r="I115"/>
          <cell r="J115">
            <v>1.0049999999999999</v>
          </cell>
          <cell r="K115"/>
          <cell r="L115"/>
          <cell r="M115">
            <v>1.0029999999999999</v>
          </cell>
          <cell r="N115">
            <v>1.0029999999999999</v>
          </cell>
          <cell r="O115"/>
          <cell r="P115">
            <v>1.032</v>
          </cell>
          <cell r="Q115">
            <v>1.0349999999999999</v>
          </cell>
          <cell r="R115">
            <v>1.1025891562650529</v>
          </cell>
        </row>
        <row r="116">
          <cell r="A116">
            <v>4511</v>
          </cell>
          <cell r="B116" t="str">
            <v>OPEN STORAGE, DEPOT</v>
          </cell>
          <cell r="C116" t="str">
            <v>SY</v>
          </cell>
          <cell r="D116" t="str">
            <v>S</v>
          </cell>
          <cell r="E116"/>
          <cell r="F116">
            <v>1.0209999999999999</v>
          </cell>
          <cell r="G116"/>
          <cell r="H116"/>
          <cell r="I116"/>
          <cell r="J116"/>
          <cell r="K116"/>
          <cell r="L116"/>
          <cell r="M116"/>
          <cell r="N116"/>
          <cell r="O116"/>
          <cell r="P116">
            <v>1.032</v>
          </cell>
          <cell r="Q116">
            <v>1.0349999999999999</v>
          </cell>
          <cell r="R116">
            <v>1.0905505199999999</v>
          </cell>
        </row>
        <row r="117">
          <cell r="A117">
            <v>4521</v>
          </cell>
          <cell r="B117" t="str">
            <v>OPEN STORAGE, INSTALLATION</v>
          </cell>
          <cell r="C117" t="str">
            <v>SY</v>
          </cell>
          <cell r="D117" t="str">
            <v>S</v>
          </cell>
          <cell r="E117"/>
          <cell r="F117">
            <v>1.0209999999999999</v>
          </cell>
          <cell r="G117"/>
          <cell r="H117"/>
          <cell r="I117"/>
          <cell r="J117"/>
          <cell r="K117"/>
          <cell r="L117"/>
          <cell r="M117"/>
          <cell r="N117"/>
          <cell r="O117"/>
          <cell r="P117">
            <v>1.032</v>
          </cell>
          <cell r="Q117">
            <v>1.0349999999999999</v>
          </cell>
          <cell r="R117">
            <v>1.0905505199999999</v>
          </cell>
        </row>
        <row r="118">
          <cell r="A118">
            <v>5302</v>
          </cell>
          <cell r="B118" t="str">
            <v>MEDICAL LABORATORY</v>
          </cell>
          <cell r="C118" t="str">
            <v>SF</v>
          </cell>
          <cell r="D118" t="str">
            <v>B</v>
          </cell>
          <cell r="E118">
            <v>1.0740000000000001</v>
          </cell>
          <cell r="F118">
            <v>1.0209999999999999</v>
          </cell>
          <cell r="G118">
            <v>1.0269999999999999</v>
          </cell>
          <cell r="H118">
            <v>1.0029999999999999</v>
          </cell>
          <cell r="I118">
            <v>1.0289999999999999</v>
          </cell>
          <cell r="J118">
            <v>1.0049999999999999</v>
          </cell>
          <cell r="K118">
            <v>1.026</v>
          </cell>
          <cell r="L118">
            <v>1.0129999999999999</v>
          </cell>
          <cell r="M118">
            <v>1.0029999999999999</v>
          </cell>
          <cell r="N118">
            <v>1.0029999999999999</v>
          </cell>
          <cell r="O118">
            <v>1.0209999999999999</v>
          </cell>
          <cell r="P118">
            <v>1.032</v>
          </cell>
          <cell r="Q118">
            <v>1.0349999999999999</v>
          </cell>
          <cell r="R118">
            <v>1.3319480854780448</v>
          </cell>
        </row>
        <row r="119">
          <cell r="A119">
            <v>5303</v>
          </cell>
          <cell r="B119" t="str">
            <v>MORGUE</v>
          </cell>
          <cell r="C119" t="str">
            <v>SF</v>
          </cell>
          <cell r="D119" t="str">
            <v>B</v>
          </cell>
          <cell r="E119">
            <v>1.0740000000000001</v>
          </cell>
          <cell r="F119">
            <v>1.0209999999999999</v>
          </cell>
          <cell r="G119">
            <v>1.0269999999999999</v>
          </cell>
          <cell r="H119">
            <v>1.0029999999999999</v>
          </cell>
          <cell r="I119">
            <v>1.0289999999999999</v>
          </cell>
          <cell r="J119">
            <v>1.0049999999999999</v>
          </cell>
          <cell r="K119">
            <v>1.026</v>
          </cell>
          <cell r="L119">
            <v>1.0129999999999999</v>
          </cell>
          <cell r="M119">
            <v>1.0029999999999999</v>
          </cell>
          <cell r="N119">
            <v>1.0029999999999999</v>
          </cell>
          <cell r="O119">
            <v>1.0209999999999999</v>
          </cell>
          <cell r="P119">
            <v>1.032</v>
          </cell>
          <cell r="Q119">
            <v>1.0349999999999999</v>
          </cell>
          <cell r="R119">
            <v>1.3319480854780448</v>
          </cell>
        </row>
        <row r="120">
          <cell r="A120">
            <v>5304</v>
          </cell>
          <cell r="B120" t="str">
            <v>VETERINARY FACILITY</v>
          </cell>
          <cell r="C120" t="str">
            <v>SF</v>
          </cell>
          <cell r="D120" t="str">
            <v>B</v>
          </cell>
          <cell r="E120">
            <v>1.0740000000000001</v>
          </cell>
          <cell r="F120">
            <v>1.0209999999999999</v>
          </cell>
          <cell r="G120">
            <v>1.0269999999999999</v>
          </cell>
          <cell r="H120">
            <v>1.0029999999999999</v>
          </cell>
          <cell r="I120">
            <v>1.0289999999999999</v>
          </cell>
          <cell r="J120">
            <v>1.0049999999999999</v>
          </cell>
          <cell r="K120">
            <v>1.026</v>
          </cell>
          <cell r="L120">
            <v>1.0129999999999999</v>
          </cell>
          <cell r="M120">
            <v>1.0029999999999999</v>
          </cell>
          <cell r="N120">
            <v>1.0029999999999999</v>
          </cell>
          <cell r="O120">
            <v>1.0209999999999999</v>
          </cell>
          <cell r="P120">
            <v>1.032</v>
          </cell>
          <cell r="Q120">
            <v>1.0349999999999999</v>
          </cell>
          <cell r="R120">
            <v>1.3319480854780448</v>
          </cell>
        </row>
        <row r="121">
          <cell r="A121">
            <v>5306</v>
          </cell>
          <cell r="B121" t="str">
            <v>MEDICAL WAREHOUSE</v>
          </cell>
          <cell r="C121" t="str">
            <v>SF</v>
          </cell>
          <cell r="D121" t="str">
            <v>B</v>
          </cell>
          <cell r="E121">
            <v>1.0740000000000001</v>
          </cell>
          <cell r="F121">
            <v>1.0209999999999999</v>
          </cell>
          <cell r="G121">
            <v>1.0269999999999999</v>
          </cell>
          <cell r="H121">
            <v>1.0029999999999999</v>
          </cell>
          <cell r="I121">
            <v>1.0289999999999999</v>
          </cell>
          <cell r="J121">
            <v>1.0049999999999999</v>
          </cell>
          <cell r="K121"/>
          <cell r="L121">
            <v>1.0129999999999999</v>
          </cell>
          <cell r="M121">
            <v>1.0029999999999999</v>
          </cell>
          <cell r="N121">
            <v>1.0029999999999999</v>
          </cell>
          <cell r="O121">
            <v>1.0209999999999999</v>
          </cell>
          <cell r="P121">
            <v>1.032</v>
          </cell>
          <cell r="Q121">
            <v>1.0349999999999999</v>
          </cell>
          <cell r="R121">
            <v>1.2981950150858137</v>
          </cell>
        </row>
        <row r="122">
          <cell r="A122">
            <v>5307</v>
          </cell>
          <cell r="B122" t="str">
            <v>AMBULANCE SHELTER</v>
          </cell>
          <cell r="C122" t="str">
            <v>SF</v>
          </cell>
          <cell r="D122" t="str">
            <v>B</v>
          </cell>
          <cell r="E122"/>
          <cell r="F122">
            <v>1.0209999999999999</v>
          </cell>
          <cell r="G122">
            <v>1.0269999999999999</v>
          </cell>
          <cell r="H122"/>
          <cell r="I122"/>
          <cell r="J122"/>
          <cell r="K122"/>
          <cell r="L122"/>
          <cell r="M122"/>
          <cell r="N122"/>
          <cell r="O122"/>
          <cell r="P122">
            <v>1.032</v>
          </cell>
          <cell r="Q122">
            <v>1.0349999999999999</v>
          </cell>
          <cell r="R122">
            <v>1.1199953840399997</v>
          </cell>
        </row>
        <row r="123">
          <cell r="A123">
            <v>6103</v>
          </cell>
          <cell r="B123" t="str">
            <v>PRINTING AND REPRODUCTION PLANT</v>
          </cell>
          <cell r="C123" t="str">
            <v>SF</v>
          </cell>
          <cell r="D123" t="str">
            <v>B</v>
          </cell>
          <cell r="E123"/>
          <cell r="F123">
            <v>1.0209999999999999</v>
          </cell>
          <cell r="G123">
            <v>1.0269999999999999</v>
          </cell>
          <cell r="H123">
            <v>1.0029999999999999</v>
          </cell>
          <cell r="I123">
            <v>1.0289999999999999</v>
          </cell>
          <cell r="J123">
            <v>1.0049999999999999</v>
          </cell>
          <cell r="K123"/>
          <cell r="L123"/>
          <cell r="M123"/>
          <cell r="N123"/>
          <cell r="O123">
            <v>1.0209999999999999</v>
          </cell>
          <cell r="P123">
            <v>1.032</v>
          </cell>
          <cell r="Q123">
            <v>1.0349999999999999</v>
          </cell>
          <cell r="R123">
            <v>1.1861082984327833</v>
          </cell>
        </row>
        <row r="124">
          <cell r="A124">
            <v>6900</v>
          </cell>
          <cell r="B124" t="str">
            <v>ADMINISTRATIVE STRUCTURE, OTHER THAN BUILDINGS</v>
          </cell>
          <cell r="C124" t="str">
            <v>EA</v>
          </cell>
          <cell r="D124" t="str">
            <v>S</v>
          </cell>
          <cell r="E124"/>
          <cell r="F124">
            <v>1.0209999999999999</v>
          </cell>
          <cell r="G124"/>
          <cell r="H124"/>
          <cell r="I124"/>
          <cell r="J124"/>
          <cell r="K124"/>
          <cell r="L124"/>
          <cell r="M124"/>
          <cell r="N124"/>
          <cell r="O124"/>
          <cell r="P124"/>
          <cell r="Q124"/>
          <cell r="R124">
            <v>1.0209999999999999</v>
          </cell>
        </row>
        <row r="125">
          <cell r="A125">
            <v>7120</v>
          </cell>
          <cell r="B125" t="str">
            <v>FAMILY HOUSING TRAILER</v>
          </cell>
          <cell r="C125" t="str">
            <v>SF</v>
          </cell>
          <cell r="D125" t="str">
            <v>B</v>
          </cell>
          <cell r="E125"/>
          <cell r="F125">
            <v>1.0209999999999999</v>
          </cell>
          <cell r="G125"/>
          <cell r="H125"/>
          <cell r="I125"/>
          <cell r="J125"/>
          <cell r="K125"/>
          <cell r="L125"/>
          <cell r="M125"/>
          <cell r="N125"/>
          <cell r="O125"/>
          <cell r="P125"/>
          <cell r="Q125"/>
          <cell r="R125">
            <v>1.0209999999999999</v>
          </cell>
        </row>
        <row r="126">
          <cell r="A126">
            <v>7130</v>
          </cell>
          <cell r="B126" t="str">
            <v>FAMILY HOUSING TRAILER SITE</v>
          </cell>
          <cell r="C126" t="str">
            <v>SY</v>
          </cell>
          <cell r="D126" t="str">
            <v>LS</v>
          </cell>
          <cell r="E126"/>
          <cell r="F126">
            <v>1.0209999999999999</v>
          </cell>
          <cell r="G126"/>
          <cell r="H126"/>
          <cell r="I126"/>
          <cell r="J126"/>
          <cell r="K126"/>
          <cell r="L126"/>
          <cell r="M126"/>
          <cell r="N126"/>
          <cell r="O126"/>
          <cell r="P126"/>
          <cell r="Q126"/>
          <cell r="R126">
            <v>1.0209999999999999</v>
          </cell>
        </row>
        <row r="127">
          <cell r="A127">
            <v>7141</v>
          </cell>
          <cell r="B127" t="str">
            <v>FAMILY HOUSING GARAGE</v>
          </cell>
          <cell r="C127" t="str">
            <v>SF</v>
          </cell>
          <cell r="D127" t="str">
            <v>B</v>
          </cell>
          <cell r="E127"/>
          <cell r="F127">
            <v>1.0209999999999999</v>
          </cell>
          <cell r="G127"/>
          <cell r="H127"/>
          <cell r="I127"/>
          <cell r="J127"/>
          <cell r="K127"/>
          <cell r="L127"/>
          <cell r="M127"/>
          <cell r="N127"/>
          <cell r="O127"/>
          <cell r="P127">
            <v>1.032</v>
          </cell>
          <cell r="Q127">
            <v>1.0349999999999999</v>
          </cell>
          <cell r="R127">
            <v>1.0905505199999999</v>
          </cell>
        </row>
        <row r="128">
          <cell r="A128">
            <v>7142</v>
          </cell>
          <cell r="B128" t="str">
            <v>FAMILY HOUSING STORAGE FACILITY</v>
          </cell>
          <cell r="C128" t="str">
            <v>SF</v>
          </cell>
          <cell r="D128" t="str">
            <v>B</v>
          </cell>
          <cell r="E128"/>
          <cell r="F128">
            <v>1.0209999999999999</v>
          </cell>
          <cell r="G128"/>
          <cell r="H128"/>
          <cell r="I128"/>
          <cell r="J128"/>
          <cell r="K128"/>
          <cell r="L128"/>
          <cell r="M128"/>
          <cell r="N128"/>
          <cell r="O128"/>
          <cell r="P128"/>
          <cell r="Q128"/>
          <cell r="R128">
            <v>1.0209999999999999</v>
          </cell>
        </row>
        <row r="129">
          <cell r="A129">
            <v>7143</v>
          </cell>
          <cell r="B129" t="str">
            <v>MISCELLANEOUS FAMILY HOUSING SUPPORT FACILITY</v>
          </cell>
          <cell r="C129" t="str">
            <v>SF</v>
          </cell>
          <cell r="D129" t="str">
            <v>B</v>
          </cell>
          <cell r="E129"/>
          <cell r="F129">
            <v>1.0209999999999999</v>
          </cell>
          <cell r="G129"/>
          <cell r="H129"/>
          <cell r="I129"/>
          <cell r="J129"/>
          <cell r="K129"/>
          <cell r="L129"/>
          <cell r="M129"/>
          <cell r="N129"/>
          <cell r="O129"/>
          <cell r="P129"/>
          <cell r="Q129"/>
          <cell r="R129">
            <v>1.0209999999999999</v>
          </cell>
        </row>
        <row r="130">
          <cell r="A130">
            <v>7145</v>
          </cell>
          <cell r="B130" t="str">
            <v>TRAILER COURT SUPPORT FACILITY</v>
          </cell>
          <cell r="C130" t="str">
            <v>SF</v>
          </cell>
          <cell r="D130" t="str">
            <v>B</v>
          </cell>
          <cell r="E130"/>
          <cell r="F130">
            <v>1.0209999999999999</v>
          </cell>
          <cell r="G130"/>
          <cell r="H130"/>
          <cell r="I130"/>
          <cell r="J130"/>
          <cell r="K130"/>
          <cell r="L130"/>
          <cell r="M130"/>
          <cell r="N130"/>
          <cell r="O130"/>
          <cell r="P130"/>
          <cell r="Q130"/>
          <cell r="R130">
            <v>1.0209999999999999</v>
          </cell>
        </row>
        <row r="131">
          <cell r="A131">
            <v>7147</v>
          </cell>
          <cell r="B131" t="str">
            <v>FAMILY HOUSING CARPORT</v>
          </cell>
          <cell r="C131" t="str">
            <v>SF</v>
          </cell>
          <cell r="D131" t="str">
            <v>S</v>
          </cell>
          <cell r="E131"/>
          <cell r="F131">
            <v>1.0209999999999999</v>
          </cell>
          <cell r="G131"/>
          <cell r="H131"/>
          <cell r="I131"/>
          <cell r="J131"/>
          <cell r="K131"/>
          <cell r="L131"/>
          <cell r="M131"/>
          <cell r="N131"/>
          <cell r="O131"/>
          <cell r="P131">
            <v>1.032</v>
          </cell>
          <cell r="Q131">
            <v>1.0349999999999999</v>
          </cell>
          <cell r="R131">
            <v>1.0905505199999999</v>
          </cell>
        </row>
        <row r="132">
          <cell r="A132">
            <v>7215</v>
          </cell>
          <cell r="B132" t="str">
            <v>UNACCOMPANIED HOUSING FOR WOUNDED WARRIORS</v>
          </cell>
          <cell r="C132" t="str">
            <v>SF</v>
          </cell>
          <cell r="D132" t="str">
            <v>B</v>
          </cell>
          <cell r="E132">
            <v>1.0740000000000001</v>
          </cell>
          <cell r="F132">
            <v>1.0209999999999999</v>
          </cell>
          <cell r="G132">
            <v>1.0269999999999999</v>
          </cell>
          <cell r="H132">
            <v>1.0029999999999999</v>
          </cell>
          <cell r="I132">
            <v>1.0289999999999999</v>
          </cell>
          <cell r="J132">
            <v>1.0049999999999999</v>
          </cell>
          <cell r="K132">
            <v>1.026</v>
          </cell>
          <cell r="L132">
            <v>1.0129999999999999</v>
          </cell>
          <cell r="M132">
            <v>1.0029999999999999</v>
          </cell>
          <cell r="N132">
            <v>1.0029999999999999</v>
          </cell>
          <cell r="O132">
            <v>1.0209999999999999</v>
          </cell>
          <cell r="P132">
            <v>1.032</v>
          </cell>
          <cell r="Q132">
            <v>1.0349999999999999</v>
          </cell>
          <cell r="R132">
            <v>1.3319480854780448</v>
          </cell>
        </row>
        <row r="133">
          <cell r="A133">
            <v>7231</v>
          </cell>
          <cell r="B133" t="str">
            <v>MISCELLANEOUS UPH SUPPORT BUILDING</v>
          </cell>
          <cell r="C133" t="str">
            <v>SF</v>
          </cell>
          <cell r="D133" t="str">
            <v>B</v>
          </cell>
          <cell r="E133">
            <v>1.0740000000000001</v>
          </cell>
          <cell r="F133">
            <v>1.0209999999999999</v>
          </cell>
          <cell r="G133">
            <v>1.0269999999999999</v>
          </cell>
          <cell r="H133"/>
          <cell r="I133"/>
          <cell r="J133"/>
          <cell r="K133"/>
          <cell r="L133"/>
          <cell r="M133">
            <v>1.0029999999999999</v>
          </cell>
          <cell r="N133"/>
          <cell r="O133"/>
          <cell r="P133"/>
          <cell r="Q133">
            <v>1.0349999999999999</v>
          </cell>
          <cell r="R133">
            <v>1.1690733213045894</v>
          </cell>
        </row>
        <row r="134">
          <cell r="A134">
            <v>7232</v>
          </cell>
          <cell r="B134" t="str">
            <v>UNACCOMPANIED PERSONNEL HOUSING GARAGE</v>
          </cell>
          <cell r="C134" t="str">
            <v>SF</v>
          </cell>
          <cell r="D134" t="str">
            <v>B</v>
          </cell>
          <cell r="E134"/>
          <cell r="F134">
            <v>1.0209999999999999</v>
          </cell>
          <cell r="G134"/>
          <cell r="H134">
            <v>1.0029999999999999</v>
          </cell>
          <cell r="I134"/>
          <cell r="J134"/>
          <cell r="K134"/>
          <cell r="L134"/>
          <cell r="M134"/>
          <cell r="N134"/>
          <cell r="O134"/>
          <cell r="P134">
            <v>1.032</v>
          </cell>
          <cell r="Q134">
            <v>1.0349999999999999</v>
          </cell>
          <cell r="R134">
            <v>1.0938221715599996</v>
          </cell>
        </row>
        <row r="135">
          <cell r="A135">
            <v>7233</v>
          </cell>
          <cell r="B135" t="str">
            <v>DINING SUPPORT FACILITY</v>
          </cell>
          <cell r="C135" t="str">
            <v>SF</v>
          </cell>
          <cell r="D135" t="str">
            <v>B</v>
          </cell>
          <cell r="E135"/>
          <cell r="F135">
            <v>1.0209999999999999</v>
          </cell>
          <cell r="G135">
            <v>1.0269999999999999</v>
          </cell>
          <cell r="H135">
            <v>1.0029999999999999</v>
          </cell>
          <cell r="I135"/>
          <cell r="J135">
            <v>1.0049999999999999</v>
          </cell>
          <cell r="K135"/>
          <cell r="L135"/>
          <cell r="M135"/>
          <cell r="N135"/>
          <cell r="O135"/>
          <cell r="P135"/>
          <cell r="Q135"/>
          <cell r="R135">
            <v>1.0569712645049996</v>
          </cell>
        </row>
        <row r="136">
          <cell r="A136">
            <v>7234</v>
          </cell>
          <cell r="B136" t="str">
            <v>LATRINE/SHOWER FACILITY</v>
          </cell>
          <cell r="C136" t="str">
            <v>SF</v>
          </cell>
          <cell r="D136" t="str">
            <v>B</v>
          </cell>
          <cell r="E136"/>
          <cell r="F136">
            <v>1.0209999999999999</v>
          </cell>
          <cell r="G136">
            <v>1.0269999999999999</v>
          </cell>
          <cell r="H136"/>
          <cell r="I136"/>
          <cell r="J136"/>
          <cell r="K136">
            <v>1.026</v>
          </cell>
          <cell r="L136">
            <v>1.0129999999999999</v>
          </cell>
          <cell r="M136"/>
          <cell r="N136">
            <v>1.0029999999999999</v>
          </cell>
          <cell r="O136"/>
          <cell r="P136">
            <v>1.032</v>
          </cell>
          <cell r="Q136">
            <v>1.0349999999999999</v>
          </cell>
          <cell r="R136">
            <v>1.1675459237447372</v>
          </cell>
        </row>
        <row r="137">
          <cell r="A137">
            <v>7235</v>
          </cell>
          <cell r="B137" t="str">
            <v>MISCELLANEOUS UPH SUPPORT FACILITY</v>
          </cell>
          <cell r="C137" t="str">
            <v>EA</v>
          </cell>
          <cell r="D137" t="str">
            <v>S</v>
          </cell>
          <cell r="E137"/>
          <cell r="F137">
            <v>1.0209999999999999</v>
          </cell>
          <cell r="G137"/>
          <cell r="H137"/>
          <cell r="I137"/>
          <cell r="J137"/>
          <cell r="K137"/>
          <cell r="L137"/>
          <cell r="M137"/>
          <cell r="N137"/>
          <cell r="O137"/>
          <cell r="P137"/>
          <cell r="Q137"/>
          <cell r="R137">
            <v>1.0209999999999999</v>
          </cell>
        </row>
        <row r="138">
          <cell r="A138">
            <v>7241</v>
          </cell>
          <cell r="B138" t="str">
            <v>OFFICER UPH, TRANSIENT</v>
          </cell>
          <cell r="C138" t="str">
            <v>SF</v>
          </cell>
          <cell r="D138" t="str">
            <v>B</v>
          </cell>
          <cell r="E138">
            <v>1.0740000000000001</v>
          </cell>
          <cell r="F138">
            <v>1.0209999999999999</v>
          </cell>
          <cell r="G138">
            <v>1.0269999999999999</v>
          </cell>
          <cell r="H138">
            <v>1.0029999999999999</v>
          </cell>
          <cell r="I138">
            <v>1.0289999999999999</v>
          </cell>
          <cell r="J138">
            <v>1.0049999999999999</v>
          </cell>
          <cell r="K138">
            <v>1.026</v>
          </cell>
          <cell r="L138">
            <v>1.0129999999999999</v>
          </cell>
          <cell r="M138">
            <v>1.0029999999999999</v>
          </cell>
          <cell r="N138">
            <v>1.0029999999999999</v>
          </cell>
          <cell r="O138">
            <v>1.0209999999999999</v>
          </cell>
          <cell r="P138">
            <v>1.032</v>
          </cell>
          <cell r="Q138">
            <v>1.0349999999999999</v>
          </cell>
          <cell r="R138">
            <v>1.3319480854780448</v>
          </cell>
        </row>
        <row r="139">
          <cell r="A139">
            <v>7242</v>
          </cell>
          <cell r="B139" t="str">
            <v>SERVICE ACADEMY UNACCOMPANIED PERSONNEL HOUSING</v>
          </cell>
          <cell r="C139" t="str">
            <v>SF</v>
          </cell>
          <cell r="D139" t="str">
            <v>B</v>
          </cell>
          <cell r="E139">
            <v>1.0740000000000001</v>
          </cell>
          <cell r="F139">
            <v>1.0209999999999999</v>
          </cell>
          <cell r="G139">
            <v>1.0269999999999999</v>
          </cell>
          <cell r="H139">
            <v>1.0029999999999999</v>
          </cell>
          <cell r="I139">
            <v>1.0289999999999999</v>
          </cell>
          <cell r="J139">
            <v>1.0049999999999999</v>
          </cell>
          <cell r="K139">
            <v>1.026</v>
          </cell>
          <cell r="L139">
            <v>1.0129999999999999</v>
          </cell>
          <cell r="M139">
            <v>1.0029999999999999</v>
          </cell>
          <cell r="N139">
            <v>1.0029999999999999</v>
          </cell>
          <cell r="O139">
            <v>1.0209999999999999</v>
          </cell>
          <cell r="P139">
            <v>1.032</v>
          </cell>
          <cell r="Q139">
            <v>1.0349999999999999</v>
          </cell>
          <cell r="R139">
            <v>1.3319480854780448</v>
          </cell>
        </row>
        <row r="140">
          <cell r="A140">
            <v>7250</v>
          </cell>
          <cell r="B140" t="str">
            <v>EMERGENCY UNACCOMPANIED PERSONNEL HOUSING</v>
          </cell>
          <cell r="C140" t="str">
            <v>SF</v>
          </cell>
          <cell r="D140" t="str">
            <v>B</v>
          </cell>
          <cell r="E140">
            <v>1.0740000000000001</v>
          </cell>
          <cell r="F140">
            <v>1.0209999999999999</v>
          </cell>
          <cell r="G140">
            <v>1.0269999999999999</v>
          </cell>
          <cell r="H140">
            <v>1.0029999999999999</v>
          </cell>
          <cell r="I140">
            <v>1.0289999999999999</v>
          </cell>
          <cell r="J140">
            <v>1.0049999999999999</v>
          </cell>
          <cell r="K140">
            <v>1.026</v>
          </cell>
          <cell r="L140">
            <v>1.0129999999999999</v>
          </cell>
          <cell r="M140">
            <v>1.0029999999999999</v>
          </cell>
          <cell r="N140">
            <v>1.0029999999999999</v>
          </cell>
          <cell r="O140">
            <v>1.0209999999999999</v>
          </cell>
          <cell r="P140">
            <v>1.032</v>
          </cell>
          <cell r="Q140">
            <v>1.0349999999999999</v>
          </cell>
          <cell r="R140">
            <v>1.3319480854780448</v>
          </cell>
        </row>
        <row r="141">
          <cell r="A141">
            <v>7312</v>
          </cell>
          <cell r="B141" t="str">
            <v>PRISON/CONFINEMENT FACILITY</v>
          </cell>
          <cell r="C141" t="str">
            <v>SF</v>
          </cell>
          <cell r="D141" t="str">
            <v>B</v>
          </cell>
          <cell r="E141">
            <v>1.0740000000000001</v>
          </cell>
          <cell r="F141">
            <v>1.0209999999999999</v>
          </cell>
          <cell r="G141">
            <v>1.0269999999999999</v>
          </cell>
          <cell r="H141">
            <v>1.0029999999999999</v>
          </cell>
          <cell r="I141">
            <v>1.0289999999999999</v>
          </cell>
          <cell r="J141">
            <v>1.0049999999999999</v>
          </cell>
          <cell r="K141">
            <v>1.026</v>
          </cell>
          <cell r="L141">
            <v>1.0129999999999999</v>
          </cell>
          <cell r="M141">
            <v>1.0029999999999999</v>
          </cell>
          <cell r="N141">
            <v>1.0029999999999999</v>
          </cell>
          <cell r="O141">
            <v>1.0209999999999999</v>
          </cell>
          <cell r="P141">
            <v>1.032</v>
          </cell>
          <cell r="Q141">
            <v>1.0349999999999999</v>
          </cell>
          <cell r="R141">
            <v>1.3319480854780448</v>
          </cell>
        </row>
        <row r="142">
          <cell r="A142">
            <v>7313</v>
          </cell>
          <cell r="B142" t="str">
            <v>POLICE STATION</v>
          </cell>
          <cell r="C142" t="str">
            <v>SF</v>
          </cell>
          <cell r="D142" t="str">
            <v>B</v>
          </cell>
          <cell r="E142">
            <v>1.0740000000000001</v>
          </cell>
          <cell r="F142">
            <v>1.0209999999999999</v>
          </cell>
          <cell r="G142">
            <v>1.0269999999999999</v>
          </cell>
          <cell r="H142">
            <v>1.0029999999999999</v>
          </cell>
          <cell r="I142">
            <v>1.0289999999999999</v>
          </cell>
          <cell r="J142">
            <v>1.0049999999999999</v>
          </cell>
          <cell r="K142">
            <v>1.026</v>
          </cell>
          <cell r="L142">
            <v>1.0129999999999999</v>
          </cell>
          <cell r="M142">
            <v>1.0029999999999999</v>
          </cell>
          <cell r="N142">
            <v>1.0029999999999999</v>
          </cell>
          <cell r="O142">
            <v>1.0209999999999999</v>
          </cell>
          <cell r="P142">
            <v>1.032</v>
          </cell>
          <cell r="Q142">
            <v>1.0349999999999999</v>
          </cell>
          <cell r="R142">
            <v>1.3319480854780448</v>
          </cell>
        </row>
        <row r="143">
          <cell r="A143">
            <v>7314</v>
          </cell>
          <cell r="B143" t="str">
            <v>DRUG AND ALCOHOL ABUSE CENTER</v>
          </cell>
          <cell r="C143" t="str">
            <v>SF</v>
          </cell>
          <cell r="D143" t="str">
            <v>B</v>
          </cell>
          <cell r="E143">
            <v>1.0740000000000001</v>
          </cell>
          <cell r="F143">
            <v>1.0209999999999999</v>
          </cell>
          <cell r="G143">
            <v>1.0269999999999999</v>
          </cell>
          <cell r="H143">
            <v>1.0029999999999999</v>
          </cell>
          <cell r="I143">
            <v>1.0289999999999999</v>
          </cell>
          <cell r="J143">
            <v>1.0049999999999999</v>
          </cell>
          <cell r="K143">
            <v>1.026</v>
          </cell>
          <cell r="L143">
            <v>1.0129999999999999</v>
          </cell>
          <cell r="M143">
            <v>1.0029999999999999</v>
          </cell>
          <cell r="N143">
            <v>1.0029999999999999</v>
          </cell>
          <cell r="O143">
            <v>1.0209999999999999</v>
          </cell>
          <cell r="P143">
            <v>1.032</v>
          </cell>
          <cell r="Q143">
            <v>1.0349999999999999</v>
          </cell>
          <cell r="R143">
            <v>1.3319480854780448</v>
          </cell>
        </row>
        <row r="144">
          <cell r="A144">
            <v>7321</v>
          </cell>
          <cell r="B144" t="str">
            <v>BREAD/PASTRY KITCHEN</v>
          </cell>
          <cell r="C144" t="str">
            <v>SF</v>
          </cell>
          <cell r="D144" t="str">
            <v>B</v>
          </cell>
          <cell r="E144"/>
          <cell r="F144">
            <v>1.0209999999999999</v>
          </cell>
          <cell r="G144">
            <v>1.0269999999999999</v>
          </cell>
          <cell r="H144">
            <v>1.0029999999999999</v>
          </cell>
          <cell r="I144">
            <v>1.0289999999999999</v>
          </cell>
          <cell r="J144">
            <v>1.0049999999999999</v>
          </cell>
          <cell r="K144"/>
          <cell r="L144">
            <v>1.0129999999999999</v>
          </cell>
          <cell r="M144">
            <v>1.0029999999999999</v>
          </cell>
          <cell r="N144">
            <v>1.0029999999999999</v>
          </cell>
          <cell r="O144"/>
          <cell r="P144">
            <v>1.032</v>
          </cell>
          <cell r="Q144">
            <v>1.0349999999999999</v>
          </cell>
          <cell r="R144">
            <v>1.1838860786480316</v>
          </cell>
        </row>
        <row r="145">
          <cell r="A145">
            <v>7322</v>
          </cell>
          <cell r="B145" t="str">
            <v>ICE/DAIRY PRODUCTS PLANT</v>
          </cell>
          <cell r="C145" t="str">
            <v>SF</v>
          </cell>
          <cell r="D145" t="str">
            <v>B</v>
          </cell>
          <cell r="E145"/>
          <cell r="F145">
            <v>1.0209999999999999</v>
          </cell>
          <cell r="G145">
            <v>1.0269999999999999</v>
          </cell>
          <cell r="H145">
            <v>1.0029999999999999</v>
          </cell>
          <cell r="I145">
            <v>1.0289999999999999</v>
          </cell>
          <cell r="J145">
            <v>1.0049999999999999</v>
          </cell>
          <cell r="K145"/>
          <cell r="L145">
            <v>1.0129999999999999</v>
          </cell>
          <cell r="M145">
            <v>1.0029999999999999</v>
          </cell>
          <cell r="N145">
            <v>1.0029999999999999</v>
          </cell>
          <cell r="O145"/>
          <cell r="P145">
            <v>1.032</v>
          </cell>
          <cell r="Q145">
            <v>1.0349999999999999</v>
          </cell>
          <cell r="R145">
            <v>1.1838860786480316</v>
          </cell>
        </row>
        <row r="146">
          <cell r="A146">
            <v>7323</v>
          </cell>
          <cell r="B146" t="str">
            <v>GREENHOUSE</v>
          </cell>
          <cell r="C146" t="str">
            <v>SF</v>
          </cell>
          <cell r="D146" t="str">
            <v>B</v>
          </cell>
          <cell r="E146"/>
          <cell r="F146">
            <v>1.0209999999999999</v>
          </cell>
          <cell r="G146"/>
          <cell r="H146"/>
          <cell r="I146"/>
          <cell r="J146"/>
          <cell r="K146"/>
          <cell r="L146"/>
          <cell r="M146"/>
          <cell r="N146"/>
          <cell r="O146"/>
          <cell r="P146"/>
          <cell r="Q146"/>
          <cell r="R146">
            <v>1.0209999999999999</v>
          </cell>
        </row>
        <row r="147">
          <cell r="A147">
            <v>7331</v>
          </cell>
          <cell r="B147" t="str">
            <v>EXCHANGE EATING FACILITY</v>
          </cell>
          <cell r="C147" t="str">
            <v>SF</v>
          </cell>
          <cell r="D147" t="str">
            <v>B</v>
          </cell>
          <cell r="E147">
            <v>1.0740000000000001</v>
          </cell>
          <cell r="F147">
            <v>1.0209999999999999</v>
          </cell>
          <cell r="G147">
            <v>1.0269999999999999</v>
          </cell>
          <cell r="H147"/>
          <cell r="I147"/>
          <cell r="J147">
            <v>1.0049999999999999</v>
          </cell>
          <cell r="K147">
            <v>1.026</v>
          </cell>
          <cell r="L147">
            <v>1.0129999999999999</v>
          </cell>
          <cell r="M147">
            <v>1.0029999999999999</v>
          </cell>
          <cell r="N147">
            <v>1.0029999999999999</v>
          </cell>
          <cell r="O147">
            <v>1.0209999999999999</v>
          </cell>
          <cell r="P147">
            <v>1.032</v>
          </cell>
          <cell r="Q147">
            <v>1.0349999999999999</v>
          </cell>
          <cell r="R147">
            <v>1.290538574246207</v>
          </cell>
        </row>
        <row r="148">
          <cell r="A148">
            <v>7333</v>
          </cell>
          <cell r="B148" t="str">
            <v>OPEN MESS AND CLUB FACILITY</v>
          </cell>
          <cell r="C148" t="str">
            <v>SF</v>
          </cell>
          <cell r="D148" t="str">
            <v>B</v>
          </cell>
          <cell r="E148">
            <v>1.0740000000000001</v>
          </cell>
          <cell r="F148">
            <v>1.0209999999999999</v>
          </cell>
          <cell r="G148">
            <v>1.0269999999999999</v>
          </cell>
          <cell r="H148">
            <v>1.0029999999999999</v>
          </cell>
          <cell r="I148">
            <v>1.0289999999999999</v>
          </cell>
          <cell r="J148">
            <v>1.0049999999999999</v>
          </cell>
          <cell r="K148">
            <v>1.026</v>
          </cell>
          <cell r="L148">
            <v>1.0129999999999999</v>
          </cell>
          <cell r="M148">
            <v>1.0029999999999999</v>
          </cell>
          <cell r="N148">
            <v>1.0029999999999999</v>
          </cell>
          <cell r="O148">
            <v>1.0209999999999999</v>
          </cell>
          <cell r="P148">
            <v>1.032</v>
          </cell>
          <cell r="Q148">
            <v>1.0349999999999999</v>
          </cell>
          <cell r="R148">
            <v>1.3319480854780448</v>
          </cell>
        </row>
        <row r="149">
          <cell r="A149">
            <v>7340</v>
          </cell>
          <cell r="B149" t="str">
            <v>THRIFT SHOP</v>
          </cell>
          <cell r="C149" t="str">
            <v>SF</v>
          </cell>
          <cell r="D149" t="str">
            <v>B</v>
          </cell>
          <cell r="E149"/>
          <cell r="F149">
            <v>1.0209999999999999</v>
          </cell>
          <cell r="G149"/>
          <cell r="H149"/>
          <cell r="I149"/>
          <cell r="J149">
            <v>1.0049999999999999</v>
          </cell>
          <cell r="K149"/>
          <cell r="L149"/>
          <cell r="M149"/>
          <cell r="N149">
            <v>1.0029999999999999</v>
          </cell>
          <cell r="O149"/>
          <cell r="P149"/>
          <cell r="Q149"/>
          <cell r="R149">
            <v>1.0291833149999998</v>
          </cell>
        </row>
        <row r="150">
          <cell r="A150">
            <v>7341</v>
          </cell>
          <cell r="B150" t="str">
            <v>BUS STATION</v>
          </cell>
          <cell r="C150" t="str">
            <v>SF</v>
          </cell>
          <cell r="D150" t="str">
            <v>B</v>
          </cell>
          <cell r="E150"/>
          <cell r="F150">
            <v>1.0209999999999999</v>
          </cell>
          <cell r="G150"/>
          <cell r="H150">
            <v>1.0029999999999999</v>
          </cell>
          <cell r="I150">
            <v>1.0289999999999999</v>
          </cell>
          <cell r="J150">
            <v>1.0049999999999999</v>
          </cell>
          <cell r="K150"/>
          <cell r="L150"/>
          <cell r="M150"/>
          <cell r="N150">
            <v>1.0029999999999999</v>
          </cell>
          <cell r="O150"/>
          <cell r="P150">
            <v>1.032</v>
          </cell>
          <cell r="Q150">
            <v>1.0349999999999999</v>
          </cell>
          <cell r="R150">
            <v>1.1345642417967394</v>
          </cell>
        </row>
        <row r="151">
          <cell r="A151">
            <v>7342</v>
          </cell>
          <cell r="B151" t="str">
            <v>LAUNDRY/DRY CLEANING FACILITY</v>
          </cell>
          <cell r="C151" t="str">
            <v>SF</v>
          </cell>
          <cell r="D151" t="str">
            <v>B</v>
          </cell>
          <cell r="E151"/>
          <cell r="F151">
            <v>1.0209999999999999</v>
          </cell>
          <cell r="G151"/>
          <cell r="H151"/>
          <cell r="I151"/>
          <cell r="J151"/>
          <cell r="K151"/>
          <cell r="L151">
            <v>1.0129999999999999</v>
          </cell>
          <cell r="M151">
            <v>1.0029999999999999</v>
          </cell>
          <cell r="N151">
            <v>1.0029999999999999</v>
          </cell>
          <cell r="O151"/>
          <cell r="P151">
            <v>1.032</v>
          </cell>
          <cell r="Q151">
            <v>1.0349999999999999</v>
          </cell>
          <cell r="R151">
            <v>1.1113659853696505</v>
          </cell>
        </row>
        <row r="152">
          <cell r="A152">
            <v>7344</v>
          </cell>
          <cell r="B152" t="str">
            <v>POSTAL FACILITY</v>
          </cell>
          <cell r="C152" t="str">
            <v>SF</v>
          </cell>
          <cell r="D152" t="str">
            <v>B</v>
          </cell>
          <cell r="E152">
            <v>1.0740000000000001</v>
          </cell>
          <cell r="F152">
            <v>1.0209999999999999</v>
          </cell>
          <cell r="G152">
            <v>1.0269999999999999</v>
          </cell>
          <cell r="H152">
            <v>1.0029999999999999</v>
          </cell>
          <cell r="I152">
            <v>1.0289999999999999</v>
          </cell>
          <cell r="J152">
            <v>1.0049999999999999</v>
          </cell>
          <cell r="K152">
            <v>1.026</v>
          </cell>
          <cell r="L152">
            <v>1.0129999999999999</v>
          </cell>
          <cell r="M152">
            <v>1.0029999999999999</v>
          </cell>
          <cell r="N152">
            <v>1.0029999999999999</v>
          </cell>
          <cell r="O152">
            <v>1.0209999999999999</v>
          </cell>
          <cell r="P152">
            <v>1.032</v>
          </cell>
          <cell r="Q152">
            <v>1.0349999999999999</v>
          </cell>
          <cell r="R152">
            <v>1.3319480854780448</v>
          </cell>
        </row>
        <row r="153">
          <cell r="A153">
            <v>7345</v>
          </cell>
          <cell r="B153" t="str">
            <v>EXCHANGE AUTOMOBILE FACILITY</v>
          </cell>
          <cell r="C153" t="str">
            <v>SF</v>
          </cell>
          <cell r="D153" t="str">
            <v>B</v>
          </cell>
          <cell r="E153"/>
          <cell r="F153">
            <v>1.0209999999999999</v>
          </cell>
          <cell r="G153">
            <v>1.0269999999999999</v>
          </cell>
          <cell r="H153">
            <v>1.0029999999999999</v>
          </cell>
          <cell r="I153">
            <v>1.0289999999999999</v>
          </cell>
          <cell r="J153">
            <v>1.0049999999999999</v>
          </cell>
          <cell r="K153"/>
          <cell r="L153"/>
          <cell r="M153"/>
          <cell r="N153">
            <v>1.0029999999999999</v>
          </cell>
          <cell r="O153"/>
          <cell r="P153">
            <v>1.032</v>
          </cell>
          <cell r="Q153">
            <v>1.0349999999999999</v>
          </cell>
          <cell r="R153">
            <v>1.1651974763252515</v>
          </cell>
        </row>
        <row r="154">
          <cell r="A154">
            <v>7346</v>
          </cell>
          <cell r="B154" t="str">
            <v>EXCHANGE SALES FACILITY</v>
          </cell>
          <cell r="C154" t="str">
            <v>SF</v>
          </cell>
          <cell r="D154" t="str">
            <v>B</v>
          </cell>
          <cell r="E154"/>
          <cell r="F154">
            <v>1.0209999999999999</v>
          </cell>
          <cell r="G154">
            <v>1.0269999999999999</v>
          </cell>
          <cell r="H154">
            <v>1.0029999999999999</v>
          </cell>
          <cell r="I154">
            <v>1.0289999999999999</v>
          </cell>
          <cell r="J154">
            <v>1.0049999999999999</v>
          </cell>
          <cell r="K154">
            <v>1.026</v>
          </cell>
          <cell r="L154">
            <v>1.0129999999999999</v>
          </cell>
          <cell r="M154">
            <v>1.0029999999999999</v>
          </cell>
          <cell r="N154">
            <v>1.0029999999999999</v>
          </cell>
          <cell r="O154"/>
          <cell r="P154">
            <v>1.032</v>
          </cell>
          <cell r="Q154">
            <v>1.0349999999999999</v>
          </cell>
          <cell r="R154">
            <v>1.2146671166928804</v>
          </cell>
        </row>
        <row r="155">
          <cell r="A155">
            <v>7347</v>
          </cell>
          <cell r="B155" t="str">
            <v>BANK AND CREDIT UNION</v>
          </cell>
          <cell r="C155" t="str">
            <v>SF</v>
          </cell>
          <cell r="D155" t="str">
            <v>B</v>
          </cell>
          <cell r="E155">
            <v>1.0740000000000001</v>
          </cell>
          <cell r="F155">
            <v>1.0209999999999999</v>
          </cell>
          <cell r="G155">
            <v>1.0269999999999999</v>
          </cell>
          <cell r="H155">
            <v>1.0029999999999999</v>
          </cell>
          <cell r="I155">
            <v>1.0289999999999999</v>
          </cell>
          <cell r="J155">
            <v>1.0049999999999999</v>
          </cell>
          <cell r="K155">
            <v>1.026</v>
          </cell>
          <cell r="L155"/>
          <cell r="M155">
            <v>1.0029999999999999</v>
          </cell>
          <cell r="N155">
            <v>1.0029999999999999</v>
          </cell>
          <cell r="O155">
            <v>1.0209999999999999</v>
          </cell>
          <cell r="P155">
            <v>1.032</v>
          </cell>
          <cell r="Q155">
            <v>1.0349999999999999</v>
          </cell>
          <cell r="R155">
            <v>1.3148549708569053</v>
          </cell>
        </row>
        <row r="156">
          <cell r="A156">
            <v>7348</v>
          </cell>
          <cell r="B156" t="str">
            <v>CAR WASH FACILITY</v>
          </cell>
          <cell r="C156" t="str">
            <v>SF</v>
          </cell>
          <cell r="D156" t="str">
            <v>B</v>
          </cell>
          <cell r="E156"/>
          <cell r="F156">
            <v>1.0209999999999999</v>
          </cell>
          <cell r="G156"/>
          <cell r="H156"/>
          <cell r="I156"/>
          <cell r="J156"/>
          <cell r="K156"/>
          <cell r="L156">
            <v>1.0129999999999999</v>
          </cell>
          <cell r="M156"/>
          <cell r="N156">
            <v>1.0029999999999999</v>
          </cell>
          <cell r="O156"/>
          <cell r="P156">
            <v>1.032</v>
          </cell>
          <cell r="Q156">
            <v>1.0349999999999999</v>
          </cell>
          <cell r="R156">
            <v>1.1080418597902797</v>
          </cell>
        </row>
        <row r="157">
          <cell r="A157">
            <v>7349</v>
          </cell>
          <cell r="B157" t="str">
            <v>COMMISSARY</v>
          </cell>
          <cell r="C157" t="str">
            <v>SF</v>
          </cell>
          <cell r="D157" t="str">
            <v>B</v>
          </cell>
          <cell r="E157">
            <v>1.0740000000000001</v>
          </cell>
          <cell r="F157">
            <v>1.0209999999999999</v>
          </cell>
          <cell r="G157">
            <v>1.0269999999999999</v>
          </cell>
          <cell r="H157">
            <v>1.0029999999999999</v>
          </cell>
          <cell r="I157">
            <v>1.0289999999999999</v>
          </cell>
          <cell r="J157">
            <v>1.0049999999999999</v>
          </cell>
          <cell r="K157"/>
          <cell r="L157">
            <v>1.0129999999999999</v>
          </cell>
          <cell r="M157">
            <v>1.0029999999999999</v>
          </cell>
          <cell r="N157">
            <v>1.0029999999999999</v>
          </cell>
          <cell r="O157">
            <v>1.0209999999999999</v>
          </cell>
          <cell r="P157">
            <v>1.032</v>
          </cell>
          <cell r="Q157">
            <v>1.0349999999999999</v>
          </cell>
          <cell r="R157">
            <v>1.2981950150858137</v>
          </cell>
        </row>
        <row r="158">
          <cell r="A158">
            <v>7351</v>
          </cell>
          <cell r="B158" t="str">
            <v>EDUCATION CENTER</v>
          </cell>
          <cell r="C158" t="str">
            <v>SF</v>
          </cell>
          <cell r="D158" t="str">
            <v>B</v>
          </cell>
          <cell r="E158">
            <v>1.0740000000000001</v>
          </cell>
          <cell r="F158">
            <v>1.0209999999999999</v>
          </cell>
          <cell r="G158">
            <v>1.0269999999999999</v>
          </cell>
          <cell r="H158">
            <v>1.0029999999999999</v>
          </cell>
          <cell r="I158">
            <v>1.0289999999999999</v>
          </cell>
          <cell r="J158">
            <v>1.0049999999999999</v>
          </cell>
          <cell r="K158">
            <v>1.026</v>
          </cell>
          <cell r="L158">
            <v>1.0129999999999999</v>
          </cell>
          <cell r="M158">
            <v>1.0029999999999999</v>
          </cell>
          <cell r="N158">
            <v>1.0029999999999999</v>
          </cell>
          <cell r="O158">
            <v>1.0209999999999999</v>
          </cell>
          <cell r="P158">
            <v>1.032</v>
          </cell>
          <cell r="Q158">
            <v>1.0349999999999999</v>
          </cell>
          <cell r="R158">
            <v>1.3319480854780448</v>
          </cell>
        </row>
        <row r="159">
          <cell r="A159">
            <v>7354</v>
          </cell>
          <cell r="B159" t="str">
            <v>SCHOOL PLAYGROUNDS</v>
          </cell>
          <cell r="C159" t="str">
            <v>EA</v>
          </cell>
          <cell r="D159" t="str">
            <v>S</v>
          </cell>
          <cell r="E159"/>
          <cell r="F159">
            <v>1.0209999999999999</v>
          </cell>
          <cell r="G159"/>
          <cell r="H159"/>
          <cell r="I159"/>
          <cell r="J159"/>
          <cell r="K159"/>
          <cell r="L159"/>
          <cell r="M159"/>
          <cell r="N159"/>
          <cell r="O159"/>
          <cell r="P159"/>
          <cell r="Q159"/>
          <cell r="R159">
            <v>1.0209999999999999</v>
          </cell>
        </row>
        <row r="160">
          <cell r="A160">
            <v>7362</v>
          </cell>
          <cell r="B160" t="str">
            <v>RELIGIOUS EDUCATION FACILITY</v>
          </cell>
          <cell r="C160" t="str">
            <v>SF</v>
          </cell>
          <cell r="D160" t="str">
            <v>B</v>
          </cell>
          <cell r="E160">
            <v>1.0740000000000001</v>
          </cell>
          <cell r="F160">
            <v>1.0209999999999999</v>
          </cell>
          <cell r="G160">
            <v>1.0269999999999999</v>
          </cell>
          <cell r="H160">
            <v>1.0029999999999999</v>
          </cell>
          <cell r="I160">
            <v>1.0289999999999999</v>
          </cell>
          <cell r="J160">
            <v>1.0049999999999999</v>
          </cell>
          <cell r="K160">
            <v>1.026</v>
          </cell>
          <cell r="L160">
            <v>1.0129999999999999</v>
          </cell>
          <cell r="M160">
            <v>1.0029999999999999</v>
          </cell>
          <cell r="N160">
            <v>1.0029999999999999</v>
          </cell>
          <cell r="O160"/>
          <cell r="P160">
            <v>1.032</v>
          </cell>
          <cell r="Q160">
            <v>1.0349999999999999</v>
          </cell>
          <cell r="R160">
            <v>1.3045524833281539</v>
          </cell>
        </row>
        <row r="161">
          <cell r="A161">
            <v>7372</v>
          </cell>
          <cell r="B161" t="str">
            <v>FAMILY SERVICE CENTER</v>
          </cell>
          <cell r="C161" t="str">
            <v>SF</v>
          </cell>
          <cell r="D161" t="str">
            <v>B</v>
          </cell>
          <cell r="E161">
            <v>1.0740000000000001</v>
          </cell>
          <cell r="F161">
            <v>1.0209999999999999</v>
          </cell>
          <cell r="G161">
            <v>1.0269999999999999</v>
          </cell>
          <cell r="H161">
            <v>1.0029999999999999</v>
          </cell>
          <cell r="I161">
            <v>1.0289999999999999</v>
          </cell>
          <cell r="J161">
            <v>1.0049999999999999</v>
          </cell>
          <cell r="K161">
            <v>1.026</v>
          </cell>
          <cell r="L161">
            <v>1.0129999999999999</v>
          </cell>
          <cell r="M161">
            <v>1.0029999999999999</v>
          </cell>
          <cell r="N161">
            <v>1.0029999999999999</v>
          </cell>
          <cell r="O161">
            <v>1.0209999999999999</v>
          </cell>
          <cell r="P161">
            <v>1.032</v>
          </cell>
          <cell r="Q161">
            <v>1.0349999999999999</v>
          </cell>
          <cell r="R161">
            <v>1.3319480854780448</v>
          </cell>
        </row>
        <row r="162">
          <cell r="A162">
            <v>7381</v>
          </cell>
          <cell r="B162" t="str">
            <v>FORESTRY GUARD STATION</v>
          </cell>
          <cell r="C162" t="str">
            <v>SF</v>
          </cell>
          <cell r="D162" t="str">
            <v>B</v>
          </cell>
          <cell r="E162"/>
          <cell r="F162">
            <v>1.0209999999999999</v>
          </cell>
          <cell r="G162"/>
          <cell r="H162"/>
          <cell r="I162"/>
          <cell r="J162"/>
          <cell r="K162"/>
          <cell r="L162"/>
          <cell r="M162"/>
          <cell r="N162"/>
          <cell r="O162"/>
          <cell r="P162"/>
          <cell r="Q162"/>
          <cell r="R162">
            <v>1.0209999999999999</v>
          </cell>
        </row>
        <row r="163">
          <cell r="A163">
            <v>7382</v>
          </cell>
          <cell r="B163" t="str">
            <v>LOCKER ROOM</v>
          </cell>
          <cell r="C163" t="str">
            <v>SF</v>
          </cell>
          <cell r="D163" t="str">
            <v>B</v>
          </cell>
          <cell r="E163"/>
          <cell r="F163">
            <v>1.0209999999999999</v>
          </cell>
          <cell r="G163"/>
          <cell r="H163"/>
          <cell r="I163"/>
          <cell r="J163"/>
          <cell r="K163"/>
          <cell r="L163"/>
          <cell r="M163"/>
          <cell r="N163"/>
          <cell r="O163"/>
          <cell r="P163"/>
          <cell r="Q163"/>
          <cell r="R163">
            <v>1.0209999999999999</v>
          </cell>
        </row>
        <row r="164">
          <cell r="A164">
            <v>7384</v>
          </cell>
          <cell r="B164" t="str">
            <v>MISCELLANEOUS PERSONNEL SHELTER</v>
          </cell>
          <cell r="C164" t="str">
            <v>SF</v>
          </cell>
          <cell r="D164" t="str">
            <v>S</v>
          </cell>
          <cell r="E164"/>
          <cell r="F164">
            <v>1.0209999999999999</v>
          </cell>
          <cell r="G164"/>
          <cell r="H164"/>
          <cell r="I164"/>
          <cell r="J164"/>
          <cell r="K164"/>
          <cell r="L164"/>
          <cell r="M164"/>
          <cell r="N164"/>
          <cell r="O164"/>
          <cell r="P164"/>
          <cell r="Q164"/>
          <cell r="R164">
            <v>1.0209999999999999</v>
          </cell>
        </row>
        <row r="165">
          <cell r="A165">
            <v>7385</v>
          </cell>
          <cell r="B165" t="str">
            <v>PUBLIC RESTROOM/SHOWER</v>
          </cell>
          <cell r="C165" t="str">
            <v>SF</v>
          </cell>
          <cell r="D165" t="str">
            <v>B</v>
          </cell>
          <cell r="E165">
            <v>1.0740000000000001</v>
          </cell>
          <cell r="F165">
            <v>1.0209999999999999</v>
          </cell>
          <cell r="G165"/>
          <cell r="H165"/>
          <cell r="I165"/>
          <cell r="J165"/>
          <cell r="K165"/>
          <cell r="L165">
            <v>1.0129999999999999</v>
          </cell>
          <cell r="M165"/>
          <cell r="N165">
            <v>1.0029999999999999</v>
          </cell>
          <cell r="O165"/>
          <cell r="P165"/>
          <cell r="Q165"/>
          <cell r="R165">
            <v>1.1141416296059998</v>
          </cell>
        </row>
        <row r="166">
          <cell r="A166">
            <v>7386</v>
          </cell>
          <cell r="B166" t="str">
            <v>CEREMONIAL HALL</v>
          </cell>
          <cell r="C166" t="str">
            <v>SF</v>
          </cell>
          <cell r="D166" t="str">
            <v>B</v>
          </cell>
          <cell r="E166">
            <v>1.0740000000000001</v>
          </cell>
          <cell r="F166">
            <v>1.0209999999999999</v>
          </cell>
          <cell r="G166">
            <v>1.0269999999999999</v>
          </cell>
          <cell r="H166">
            <v>1.0029999999999999</v>
          </cell>
          <cell r="I166">
            <v>1.0289999999999999</v>
          </cell>
          <cell r="J166">
            <v>1.0049999999999999</v>
          </cell>
          <cell r="K166">
            <v>1.026</v>
          </cell>
          <cell r="L166">
            <v>1.0129999999999999</v>
          </cell>
          <cell r="M166">
            <v>1.0029999999999999</v>
          </cell>
          <cell r="N166">
            <v>1.0029999999999999</v>
          </cell>
          <cell r="O166">
            <v>1.0209999999999999</v>
          </cell>
          <cell r="P166">
            <v>1.032</v>
          </cell>
          <cell r="Q166">
            <v>1.0349999999999999</v>
          </cell>
          <cell r="R166">
            <v>1.3319480854780448</v>
          </cell>
        </row>
        <row r="167">
          <cell r="A167">
            <v>7387</v>
          </cell>
          <cell r="B167" t="str">
            <v>EXCHANGE SUPPORT FACILITY</v>
          </cell>
          <cell r="C167" t="str">
            <v>SF</v>
          </cell>
          <cell r="D167" t="str">
            <v>B</v>
          </cell>
          <cell r="E167"/>
          <cell r="F167">
            <v>1.0209999999999999</v>
          </cell>
          <cell r="G167"/>
          <cell r="H167"/>
          <cell r="I167"/>
          <cell r="J167"/>
          <cell r="K167"/>
          <cell r="L167"/>
          <cell r="M167"/>
          <cell r="N167"/>
          <cell r="O167"/>
          <cell r="P167"/>
          <cell r="Q167"/>
          <cell r="R167">
            <v>1.0209999999999999</v>
          </cell>
        </row>
        <row r="168">
          <cell r="A168">
            <v>7411</v>
          </cell>
          <cell r="B168" t="str">
            <v>HOBBY AND CRAFT CENTER</v>
          </cell>
          <cell r="C168" t="str">
            <v>SF</v>
          </cell>
          <cell r="D168" t="str">
            <v>B</v>
          </cell>
          <cell r="E168"/>
          <cell r="F168">
            <v>1.0209999999999999</v>
          </cell>
          <cell r="G168"/>
          <cell r="H168"/>
          <cell r="I168"/>
          <cell r="J168"/>
          <cell r="K168"/>
          <cell r="L168"/>
          <cell r="M168"/>
          <cell r="N168"/>
          <cell r="O168"/>
          <cell r="P168"/>
          <cell r="Q168"/>
          <cell r="R168">
            <v>1.0209999999999999</v>
          </cell>
        </row>
        <row r="169">
          <cell r="A169">
            <v>7412</v>
          </cell>
          <cell r="B169" t="str">
            <v>AUTOMOBILE CRAFT CENTER</v>
          </cell>
          <cell r="C169" t="str">
            <v>SF</v>
          </cell>
          <cell r="D169" t="str">
            <v>B</v>
          </cell>
          <cell r="E169"/>
          <cell r="F169">
            <v>1.0209999999999999</v>
          </cell>
          <cell r="G169"/>
          <cell r="H169">
            <v>1.0029999999999999</v>
          </cell>
          <cell r="I169"/>
          <cell r="J169"/>
          <cell r="K169"/>
          <cell r="L169"/>
          <cell r="M169"/>
          <cell r="N169"/>
          <cell r="O169"/>
          <cell r="P169"/>
          <cell r="Q169"/>
          <cell r="R169">
            <v>1.0240629999999997</v>
          </cell>
        </row>
        <row r="170">
          <cell r="A170">
            <v>7413</v>
          </cell>
          <cell r="B170" t="str">
            <v>GOLF CLUB HOUSE AND SALES</v>
          </cell>
          <cell r="C170" t="str">
            <v>SF</v>
          </cell>
          <cell r="D170" t="str">
            <v>B</v>
          </cell>
          <cell r="E170">
            <v>1.0740000000000001</v>
          </cell>
          <cell r="F170">
            <v>1.0209999999999999</v>
          </cell>
          <cell r="G170">
            <v>1.0269999999999999</v>
          </cell>
          <cell r="H170">
            <v>1.0029999999999999</v>
          </cell>
          <cell r="I170">
            <v>1.0289999999999999</v>
          </cell>
          <cell r="J170">
            <v>1.0049999999999999</v>
          </cell>
          <cell r="K170">
            <v>1.026</v>
          </cell>
          <cell r="L170">
            <v>1.0129999999999999</v>
          </cell>
          <cell r="M170">
            <v>1.0029999999999999</v>
          </cell>
          <cell r="N170">
            <v>1.0029999999999999</v>
          </cell>
          <cell r="O170">
            <v>1.0209999999999999</v>
          </cell>
          <cell r="P170">
            <v>1.032</v>
          </cell>
          <cell r="Q170">
            <v>1.0349999999999999</v>
          </cell>
          <cell r="R170">
            <v>1.3319480854780448</v>
          </cell>
        </row>
        <row r="171">
          <cell r="A171">
            <v>7414</v>
          </cell>
          <cell r="B171" t="str">
            <v>CLUB AND ORGANIZATION BUILDING</v>
          </cell>
          <cell r="C171" t="str">
            <v>SF</v>
          </cell>
          <cell r="D171" t="str">
            <v>B</v>
          </cell>
          <cell r="E171">
            <v>1.0740000000000001</v>
          </cell>
          <cell r="F171">
            <v>1.0209999999999999</v>
          </cell>
          <cell r="G171">
            <v>1.0269999999999999</v>
          </cell>
          <cell r="H171">
            <v>1.0029999999999999</v>
          </cell>
          <cell r="I171">
            <v>1.0289999999999999</v>
          </cell>
          <cell r="J171">
            <v>1.0049999999999999</v>
          </cell>
          <cell r="K171">
            <v>1.026</v>
          </cell>
          <cell r="L171">
            <v>1.0129999999999999</v>
          </cell>
          <cell r="M171">
            <v>1.0029999999999999</v>
          </cell>
          <cell r="N171">
            <v>1.0029999999999999</v>
          </cell>
          <cell r="O171">
            <v>1.0209999999999999</v>
          </cell>
          <cell r="P171"/>
          <cell r="Q171"/>
          <cell r="R171">
            <v>1.2470022895162014</v>
          </cell>
        </row>
        <row r="172">
          <cell r="A172">
            <v>7415</v>
          </cell>
          <cell r="B172" t="str">
            <v>BOWLING CENTER</v>
          </cell>
          <cell r="C172" t="str">
            <v>SF</v>
          </cell>
          <cell r="D172" t="str">
            <v>B</v>
          </cell>
          <cell r="E172">
            <v>1.0740000000000001</v>
          </cell>
          <cell r="F172">
            <v>1.0209999999999999</v>
          </cell>
          <cell r="G172">
            <v>1.0269999999999999</v>
          </cell>
          <cell r="H172">
            <v>1.0029999999999999</v>
          </cell>
          <cell r="I172">
            <v>1.0289999999999999</v>
          </cell>
          <cell r="J172">
            <v>1.0049999999999999</v>
          </cell>
          <cell r="K172"/>
          <cell r="L172"/>
          <cell r="M172">
            <v>1.0029999999999999</v>
          </cell>
          <cell r="N172">
            <v>1.0029999999999999</v>
          </cell>
          <cell r="O172">
            <v>1.0209999999999999</v>
          </cell>
          <cell r="P172">
            <v>1.032</v>
          </cell>
          <cell r="Q172">
            <v>1.0349999999999999</v>
          </cell>
          <cell r="R172">
            <v>1.2815350593147223</v>
          </cell>
        </row>
        <row r="173">
          <cell r="A173">
            <v>7416</v>
          </cell>
          <cell r="B173" t="str">
            <v>LIBRARY, GENERAL USE</v>
          </cell>
          <cell r="C173" t="str">
            <v>SF</v>
          </cell>
          <cell r="D173" t="str">
            <v>B</v>
          </cell>
          <cell r="E173">
            <v>1.0740000000000001</v>
          </cell>
          <cell r="F173">
            <v>1.0209999999999999</v>
          </cell>
          <cell r="G173">
            <v>1.0269999999999999</v>
          </cell>
          <cell r="H173">
            <v>1.0029999999999999</v>
          </cell>
          <cell r="I173">
            <v>1.0289999999999999</v>
          </cell>
          <cell r="J173">
            <v>1.0049999999999999</v>
          </cell>
          <cell r="K173">
            <v>1.026</v>
          </cell>
          <cell r="L173">
            <v>1.0129999999999999</v>
          </cell>
          <cell r="M173">
            <v>1.0029999999999999</v>
          </cell>
          <cell r="N173">
            <v>1.0029999999999999</v>
          </cell>
          <cell r="O173">
            <v>1.0209999999999999</v>
          </cell>
          <cell r="P173">
            <v>1.032</v>
          </cell>
          <cell r="Q173">
            <v>1.0349999999999999</v>
          </cell>
          <cell r="R173">
            <v>1.3319480854780448</v>
          </cell>
        </row>
        <row r="174">
          <cell r="A174">
            <v>7417</v>
          </cell>
          <cell r="B174" t="str">
            <v>RECREATION CENTER</v>
          </cell>
          <cell r="C174" t="str">
            <v>SF</v>
          </cell>
          <cell r="D174" t="str">
            <v>B</v>
          </cell>
          <cell r="E174">
            <v>1.0740000000000001</v>
          </cell>
          <cell r="F174">
            <v>1.0209999999999999</v>
          </cell>
          <cell r="G174">
            <v>1.0269999999999999</v>
          </cell>
          <cell r="H174">
            <v>1.0029999999999999</v>
          </cell>
          <cell r="I174">
            <v>1.0289999999999999</v>
          </cell>
          <cell r="J174">
            <v>1.0049999999999999</v>
          </cell>
          <cell r="K174"/>
          <cell r="L174">
            <v>1.0129999999999999</v>
          </cell>
          <cell r="M174">
            <v>1.0029999999999999</v>
          </cell>
          <cell r="N174">
            <v>1.0029999999999999</v>
          </cell>
          <cell r="O174">
            <v>1.0209999999999999</v>
          </cell>
          <cell r="P174">
            <v>1.032</v>
          </cell>
          <cell r="Q174">
            <v>1.0349999999999999</v>
          </cell>
          <cell r="R174">
            <v>1.2981950150858137</v>
          </cell>
        </row>
        <row r="175">
          <cell r="A175">
            <v>7418</v>
          </cell>
          <cell r="B175" t="str">
            <v>INDOOR SKATING RINK</v>
          </cell>
          <cell r="C175" t="str">
            <v>SF</v>
          </cell>
          <cell r="D175" t="str">
            <v>B</v>
          </cell>
          <cell r="E175"/>
          <cell r="F175">
            <v>1.0209999999999999</v>
          </cell>
          <cell r="G175">
            <v>1.0269999999999999</v>
          </cell>
          <cell r="H175">
            <v>1.0029999999999999</v>
          </cell>
          <cell r="I175">
            <v>1.0289999999999999</v>
          </cell>
          <cell r="J175">
            <v>1.0049999999999999</v>
          </cell>
          <cell r="K175"/>
          <cell r="L175"/>
          <cell r="M175"/>
          <cell r="N175">
            <v>1.0029999999999999</v>
          </cell>
          <cell r="O175">
            <v>1.0209999999999999</v>
          </cell>
          <cell r="P175">
            <v>1.032</v>
          </cell>
          <cell r="Q175">
            <v>1.0349999999999999</v>
          </cell>
          <cell r="R175">
            <v>1.1896666233280813</v>
          </cell>
        </row>
        <row r="176">
          <cell r="A176">
            <v>7422</v>
          </cell>
          <cell r="B176" t="str">
            <v>INDOOR SWIMMING POOL</v>
          </cell>
          <cell r="C176" t="str">
            <v>SF</v>
          </cell>
          <cell r="D176" t="str">
            <v>B</v>
          </cell>
          <cell r="E176"/>
          <cell r="F176">
            <v>1.0209999999999999</v>
          </cell>
          <cell r="G176">
            <v>1.0269999999999999</v>
          </cell>
          <cell r="H176">
            <v>1.0029999999999999</v>
          </cell>
          <cell r="I176">
            <v>1.0289999999999999</v>
          </cell>
          <cell r="J176">
            <v>1.0049999999999999</v>
          </cell>
          <cell r="K176"/>
          <cell r="L176">
            <v>1.0129999999999999</v>
          </cell>
          <cell r="M176"/>
          <cell r="N176">
            <v>1.0029999999999999</v>
          </cell>
          <cell r="O176">
            <v>1.0209999999999999</v>
          </cell>
          <cell r="P176">
            <v>1.032</v>
          </cell>
          <cell r="Q176">
            <v>1.0349999999999999</v>
          </cell>
          <cell r="R176">
            <v>1.2051322894313463</v>
          </cell>
        </row>
        <row r="177">
          <cell r="A177">
            <v>7431</v>
          </cell>
          <cell r="B177" t="str">
            <v>AUDITORIUM AND THEATER FACILITY</v>
          </cell>
          <cell r="C177" t="str">
            <v>SF</v>
          </cell>
          <cell r="D177" t="str">
            <v>B</v>
          </cell>
          <cell r="E177">
            <v>1.0740000000000001</v>
          </cell>
          <cell r="F177">
            <v>1.0209999999999999</v>
          </cell>
          <cell r="G177">
            <v>1.0269999999999999</v>
          </cell>
          <cell r="H177">
            <v>1.0029999999999999</v>
          </cell>
          <cell r="I177">
            <v>1.0289999999999999</v>
          </cell>
          <cell r="J177">
            <v>1.0049999999999999</v>
          </cell>
          <cell r="K177">
            <v>1.026</v>
          </cell>
          <cell r="L177"/>
          <cell r="M177">
            <v>1.0029999999999999</v>
          </cell>
          <cell r="N177">
            <v>1.0029999999999999</v>
          </cell>
          <cell r="O177">
            <v>1.0209999999999999</v>
          </cell>
          <cell r="P177">
            <v>1.032</v>
          </cell>
          <cell r="Q177">
            <v>1.0349999999999999</v>
          </cell>
          <cell r="R177">
            <v>1.3148549708569053</v>
          </cell>
        </row>
        <row r="178">
          <cell r="A178">
            <v>7440</v>
          </cell>
          <cell r="B178" t="str">
            <v>COMMUNITY ACTIVIES / CONFERENCE CENTER</v>
          </cell>
          <cell r="C178" t="str">
            <v>SF</v>
          </cell>
          <cell r="D178" t="str">
            <v>B</v>
          </cell>
          <cell r="E178">
            <v>1.0740000000000001</v>
          </cell>
          <cell r="F178">
            <v>1.0209999999999999</v>
          </cell>
          <cell r="G178">
            <v>1.0269999999999999</v>
          </cell>
          <cell r="H178">
            <v>1.0029999999999999</v>
          </cell>
          <cell r="I178">
            <v>1.0289999999999999</v>
          </cell>
          <cell r="J178">
            <v>1.0049999999999999</v>
          </cell>
          <cell r="K178">
            <v>1.026</v>
          </cell>
          <cell r="L178"/>
          <cell r="M178">
            <v>1.0029999999999999</v>
          </cell>
          <cell r="N178">
            <v>1.0029999999999999</v>
          </cell>
          <cell r="O178">
            <v>1.0209999999999999</v>
          </cell>
          <cell r="P178">
            <v>1.032</v>
          </cell>
          <cell r="Q178">
            <v>1.0349999999999999</v>
          </cell>
          <cell r="R178">
            <v>1.3148549708569053</v>
          </cell>
        </row>
        <row r="179">
          <cell r="A179">
            <v>7442</v>
          </cell>
          <cell r="B179" t="str">
            <v>RECREATIONAL LODGING</v>
          </cell>
          <cell r="C179" t="str">
            <v>SF</v>
          </cell>
          <cell r="D179" t="str">
            <v>B</v>
          </cell>
          <cell r="E179"/>
          <cell r="F179">
            <v>1.0209999999999999</v>
          </cell>
          <cell r="G179">
            <v>1.0269999999999999</v>
          </cell>
          <cell r="H179"/>
          <cell r="I179"/>
          <cell r="J179">
            <v>1.0049999999999999</v>
          </cell>
          <cell r="K179"/>
          <cell r="L179"/>
          <cell r="M179"/>
          <cell r="N179">
            <v>1.0029999999999999</v>
          </cell>
          <cell r="O179"/>
          <cell r="P179">
            <v>1.032</v>
          </cell>
          <cell r="Q179">
            <v>1.0349999999999999</v>
          </cell>
          <cell r="R179">
            <v>1.12897214704308</v>
          </cell>
        </row>
        <row r="180">
          <cell r="A180">
            <v>7443</v>
          </cell>
          <cell r="B180" t="str">
            <v>TRANSIENT AND RECREATIONAL LODGING SUPPORT FACILITY</v>
          </cell>
          <cell r="C180" t="str">
            <v>SF</v>
          </cell>
          <cell r="D180" t="str">
            <v>B</v>
          </cell>
          <cell r="E180"/>
          <cell r="F180">
            <v>1.0209999999999999</v>
          </cell>
          <cell r="G180"/>
          <cell r="H180">
            <v>1.0029999999999999</v>
          </cell>
          <cell r="I180">
            <v>1.0289999999999999</v>
          </cell>
          <cell r="J180">
            <v>1.0049999999999999</v>
          </cell>
          <cell r="K180"/>
          <cell r="L180"/>
          <cell r="M180"/>
          <cell r="N180"/>
          <cell r="O180"/>
          <cell r="P180"/>
          <cell r="Q180"/>
          <cell r="R180">
            <v>1.0590296311349996</v>
          </cell>
        </row>
        <row r="181">
          <cell r="A181">
            <v>7444</v>
          </cell>
          <cell r="B181" t="str">
            <v>STABLE</v>
          </cell>
          <cell r="C181" t="str">
            <v>SF</v>
          </cell>
          <cell r="D181" t="str">
            <v>B</v>
          </cell>
          <cell r="E181"/>
          <cell r="F181">
            <v>1.0209999999999999</v>
          </cell>
          <cell r="G181"/>
          <cell r="H181"/>
          <cell r="I181"/>
          <cell r="J181"/>
          <cell r="K181"/>
          <cell r="L181"/>
          <cell r="M181"/>
          <cell r="N181"/>
          <cell r="O181"/>
          <cell r="P181"/>
          <cell r="Q181"/>
          <cell r="R181">
            <v>1.0209999999999999</v>
          </cell>
        </row>
        <row r="182">
          <cell r="A182">
            <v>7445</v>
          </cell>
          <cell r="B182" t="str">
            <v>BOATHOUSE</v>
          </cell>
          <cell r="C182" t="str">
            <v>SF</v>
          </cell>
          <cell r="D182" t="str">
            <v>B</v>
          </cell>
          <cell r="E182"/>
          <cell r="F182">
            <v>1.0209999999999999</v>
          </cell>
          <cell r="G182"/>
          <cell r="H182"/>
          <cell r="I182"/>
          <cell r="J182"/>
          <cell r="K182"/>
          <cell r="L182"/>
          <cell r="M182"/>
          <cell r="N182"/>
          <cell r="O182"/>
          <cell r="P182"/>
          <cell r="Q182"/>
          <cell r="R182">
            <v>1.0209999999999999</v>
          </cell>
        </row>
        <row r="183">
          <cell r="A183">
            <v>7446</v>
          </cell>
          <cell r="B183" t="str">
            <v>MISCELLANEOUS MWR FACILITY</v>
          </cell>
          <cell r="C183" t="str">
            <v>SF</v>
          </cell>
          <cell r="D183" t="str">
            <v>B</v>
          </cell>
          <cell r="E183"/>
          <cell r="F183">
            <v>1.0209999999999999</v>
          </cell>
          <cell r="G183"/>
          <cell r="H183"/>
          <cell r="I183"/>
          <cell r="J183"/>
          <cell r="K183"/>
          <cell r="L183"/>
          <cell r="M183"/>
          <cell r="N183"/>
          <cell r="O183"/>
          <cell r="P183"/>
          <cell r="Q183"/>
          <cell r="R183">
            <v>1.0209999999999999</v>
          </cell>
        </row>
        <row r="184">
          <cell r="A184">
            <v>7448</v>
          </cell>
          <cell r="B184" t="str">
            <v>RECREATIONAL SUPPORT BUILDING</v>
          </cell>
          <cell r="C184" t="str">
            <v>SF</v>
          </cell>
          <cell r="D184" t="str">
            <v>B</v>
          </cell>
          <cell r="E184"/>
          <cell r="F184">
            <v>1.0209999999999999</v>
          </cell>
          <cell r="G184">
            <v>1.0269999999999999</v>
          </cell>
          <cell r="H184"/>
          <cell r="I184"/>
          <cell r="J184"/>
          <cell r="K184"/>
          <cell r="L184">
            <v>1.0129999999999999</v>
          </cell>
          <cell r="M184"/>
          <cell r="N184">
            <v>1.0029999999999999</v>
          </cell>
          <cell r="O184"/>
          <cell r="P184">
            <v>1.032</v>
          </cell>
          <cell r="Q184">
            <v>1.0349999999999999</v>
          </cell>
          <cell r="R184">
            <v>1.1379589900046172</v>
          </cell>
        </row>
        <row r="185">
          <cell r="A185">
            <v>7449</v>
          </cell>
          <cell r="B185" t="str">
            <v>RETAIL KENNEL</v>
          </cell>
          <cell r="C185" t="str">
            <v>SF</v>
          </cell>
          <cell r="D185" t="str">
            <v>B</v>
          </cell>
          <cell r="E185">
            <v>1.0740000000000001</v>
          </cell>
          <cell r="F185">
            <v>1.0209999999999999</v>
          </cell>
          <cell r="G185">
            <v>1.0269999999999999</v>
          </cell>
          <cell r="H185">
            <v>1.0029999999999999</v>
          </cell>
          <cell r="I185">
            <v>1.0289999999999999</v>
          </cell>
          <cell r="J185">
            <v>1.0049999999999999</v>
          </cell>
          <cell r="K185">
            <v>1.026</v>
          </cell>
          <cell r="L185">
            <v>1.0129999999999999</v>
          </cell>
          <cell r="M185">
            <v>1.0029999999999999</v>
          </cell>
          <cell r="N185">
            <v>1.0029999999999999</v>
          </cell>
          <cell r="O185">
            <v>1.0209999999999999</v>
          </cell>
          <cell r="P185">
            <v>1.032</v>
          </cell>
          <cell r="Q185">
            <v>1.0349999999999999</v>
          </cell>
          <cell r="R185">
            <v>1.3319480854780448</v>
          </cell>
        </row>
        <row r="186">
          <cell r="A186">
            <v>7512</v>
          </cell>
          <cell r="B186" t="str">
            <v>OUTDOOR SWIMMING POOL</v>
          </cell>
          <cell r="C186" t="str">
            <v>EA</v>
          </cell>
          <cell r="D186" t="str">
            <v>S</v>
          </cell>
          <cell r="E186"/>
          <cell r="F186">
            <v>1.0209999999999999</v>
          </cell>
          <cell r="G186">
            <v>1.0269999999999999</v>
          </cell>
          <cell r="H186"/>
          <cell r="I186"/>
          <cell r="J186"/>
          <cell r="K186"/>
          <cell r="L186">
            <v>1.0129999999999999</v>
          </cell>
          <cell r="M186"/>
          <cell r="N186">
            <v>1.0029999999999999</v>
          </cell>
          <cell r="O186"/>
          <cell r="P186">
            <v>1.032</v>
          </cell>
          <cell r="Q186">
            <v>1.0349999999999999</v>
          </cell>
          <cell r="R186">
            <v>1.1379589900046172</v>
          </cell>
        </row>
        <row r="187">
          <cell r="A187">
            <v>7513</v>
          </cell>
          <cell r="B187" t="str">
            <v>GOLF COURSE</v>
          </cell>
          <cell r="C187" t="str">
            <v>EA</v>
          </cell>
          <cell r="D187" t="str">
            <v>S</v>
          </cell>
          <cell r="E187"/>
          <cell r="F187">
            <v>1.0209999999999999</v>
          </cell>
          <cell r="G187">
            <v>1.0269999999999999</v>
          </cell>
          <cell r="H187"/>
          <cell r="I187"/>
          <cell r="J187"/>
          <cell r="K187"/>
          <cell r="L187"/>
          <cell r="M187"/>
          <cell r="N187"/>
          <cell r="O187"/>
          <cell r="P187">
            <v>1.032</v>
          </cell>
          <cell r="Q187">
            <v>1.0349999999999999</v>
          </cell>
          <cell r="R187">
            <v>1.1199953840399997</v>
          </cell>
        </row>
        <row r="188">
          <cell r="A188">
            <v>7514</v>
          </cell>
          <cell r="B188" t="str">
            <v>GOLF DRIVING RANGE</v>
          </cell>
          <cell r="C188" t="str">
            <v>EA</v>
          </cell>
          <cell r="D188" t="str">
            <v>S</v>
          </cell>
          <cell r="E188"/>
          <cell r="F188">
            <v>1.0209999999999999</v>
          </cell>
          <cell r="G188">
            <v>1.0269999999999999</v>
          </cell>
          <cell r="H188"/>
          <cell r="I188"/>
          <cell r="J188"/>
          <cell r="K188"/>
          <cell r="L188"/>
          <cell r="M188"/>
          <cell r="N188"/>
          <cell r="O188"/>
          <cell r="P188">
            <v>1.032</v>
          </cell>
          <cell r="Q188">
            <v>1.0349999999999999</v>
          </cell>
          <cell r="R188">
            <v>1.1199953840399997</v>
          </cell>
        </row>
        <row r="189">
          <cell r="A189">
            <v>7515</v>
          </cell>
          <cell r="B189" t="str">
            <v>GOLF PITCH AND PUTT COURSE</v>
          </cell>
          <cell r="C189" t="str">
            <v>EA</v>
          </cell>
          <cell r="D189" t="str">
            <v>S</v>
          </cell>
          <cell r="E189"/>
          <cell r="F189">
            <v>1.0209999999999999</v>
          </cell>
          <cell r="G189"/>
          <cell r="H189"/>
          <cell r="I189"/>
          <cell r="J189"/>
          <cell r="K189"/>
          <cell r="L189"/>
          <cell r="M189"/>
          <cell r="N189"/>
          <cell r="O189"/>
          <cell r="P189">
            <v>1.032</v>
          </cell>
          <cell r="Q189">
            <v>1.0349999999999999</v>
          </cell>
          <cell r="R189">
            <v>1.0905505199999999</v>
          </cell>
        </row>
        <row r="190">
          <cell r="A190">
            <v>7516</v>
          </cell>
          <cell r="B190" t="str">
            <v>OUTDOOR RECREATION AREA</v>
          </cell>
          <cell r="C190" t="str">
            <v>EA</v>
          </cell>
          <cell r="D190" t="str">
            <v>S</v>
          </cell>
          <cell r="E190"/>
          <cell r="F190">
            <v>1.0209999999999999</v>
          </cell>
          <cell r="G190"/>
          <cell r="H190"/>
          <cell r="I190"/>
          <cell r="J190"/>
          <cell r="K190"/>
          <cell r="L190"/>
          <cell r="M190"/>
          <cell r="N190"/>
          <cell r="O190"/>
          <cell r="P190"/>
          <cell r="Q190"/>
          <cell r="R190">
            <v>1.0209999999999999</v>
          </cell>
        </row>
        <row r="191">
          <cell r="A191">
            <v>7517</v>
          </cell>
          <cell r="B191" t="str">
            <v>RECREATIONAL PIER</v>
          </cell>
          <cell r="C191" t="str">
            <v>EA</v>
          </cell>
          <cell r="D191" t="str">
            <v>S</v>
          </cell>
          <cell r="E191"/>
          <cell r="F191">
            <v>1.0209999999999999</v>
          </cell>
          <cell r="G191"/>
          <cell r="H191"/>
          <cell r="I191"/>
          <cell r="J191"/>
          <cell r="K191"/>
          <cell r="L191"/>
          <cell r="M191"/>
          <cell r="N191"/>
          <cell r="O191"/>
          <cell r="P191"/>
          <cell r="Q191"/>
          <cell r="R191">
            <v>1.0209999999999999</v>
          </cell>
        </row>
        <row r="192">
          <cell r="A192">
            <v>7518</v>
          </cell>
          <cell r="B192" t="str">
            <v>MARINA</v>
          </cell>
          <cell r="C192" t="str">
            <v>EA</v>
          </cell>
          <cell r="D192" t="str">
            <v>S</v>
          </cell>
          <cell r="E192"/>
          <cell r="F192">
            <v>1.0209999999999999</v>
          </cell>
          <cell r="G192">
            <v>1.0269999999999999</v>
          </cell>
          <cell r="H192"/>
          <cell r="I192"/>
          <cell r="J192"/>
          <cell r="K192"/>
          <cell r="L192"/>
          <cell r="M192"/>
          <cell r="N192"/>
          <cell r="O192"/>
          <cell r="P192">
            <v>1.032</v>
          </cell>
          <cell r="Q192">
            <v>1.0349999999999999</v>
          </cell>
          <cell r="R192">
            <v>1.1199953840399997</v>
          </cell>
        </row>
        <row r="193">
          <cell r="A193">
            <v>7521</v>
          </cell>
          <cell r="B193" t="str">
            <v>OUTDOOR PLAYING COURT</v>
          </cell>
          <cell r="C193" t="str">
            <v>EA</v>
          </cell>
          <cell r="D193" t="str">
            <v>S</v>
          </cell>
          <cell r="E193"/>
          <cell r="F193">
            <v>1.0209999999999999</v>
          </cell>
          <cell r="G193"/>
          <cell r="H193"/>
          <cell r="I193"/>
          <cell r="J193"/>
          <cell r="K193"/>
          <cell r="L193"/>
          <cell r="M193"/>
          <cell r="N193"/>
          <cell r="O193"/>
          <cell r="P193"/>
          <cell r="Q193"/>
          <cell r="R193">
            <v>1.0209999999999999</v>
          </cell>
        </row>
        <row r="194">
          <cell r="A194">
            <v>7523</v>
          </cell>
          <cell r="B194" t="str">
            <v>RUNNING TRACK</v>
          </cell>
          <cell r="C194" t="str">
            <v>EA</v>
          </cell>
          <cell r="D194" t="str">
            <v>S</v>
          </cell>
          <cell r="E194"/>
          <cell r="F194">
            <v>1.0209999999999999</v>
          </cell>
          <cell r="G194">
            <v>1.0269999999999999</v>
          </cell>
          <cell r="H194"/>
          <cell r="I194"/>
          <cell r="J194"/>
          <cell r="K194"/>
          <cell r="L194"/>
          <cell r="M194"/>
          <cell r="N194"/>
          <cell r="O194"/>
          <cell r="P194"/>
          <cell r="Q194"/>
          <cell r="R194">
            <v>1.0485669999999998</v>
          </cell>
        </row>
        <row r="195">
          <cell r="A195">
            <v>7524</v>
          </cell>
          <cell r="B195" t="str">
            <v>STADIUM</v>
          </cell>
          <cell r="C195" t="str">
            <v>EA</v>
          </cell>
          <cell r="D195" t="str">
            <v>S</v>
          </cell>
          <cell r="E195"/>
          <cell r="F195">
            <v>1.0209999999999999</v>
          </cell>
          <cell r="G195">
            <v>1.0269999999999999</v>
          </cell>
          <cell r="H195"/>
          <cell r="I195"/>
          <cell r="J195"/>
          <cell r="K195"/>
          <cell r="L195"/>
          <cell r="M195"/>
          <cell r="N195"/>
          <cell r="O195"/>
          <cell r="P195">
            <v>1.032</v>
          </cell>
          <cell r="Q195">
            <v>1.0349999999999999</v>
          </cell>
          <cell r="R195">
            <v>1.1199953840399997</v>
          </cell>
        </row>
        <row r="196">
          <cell r="A196">
            <v>7531</v>
          </cell>
          <cell r="B196" t="str">
            <v>PAVILION</v>
          </cell>
          <cell r="C196" t="str">
            <v>SF</v>
          </cell>
          <cell r="D196" t="str">
            <v>S</v>
          </cell>
          <cell r="E196"/>
          <cell r="F196">
            <v>1.0209999999999999</v>
          </cell>
          <cell r="G196"/>
          <cell r="H196"/>
          <cell r="I196"/>
          <cell r="J196"/>
          <cell r="K196"/>
          <cell r="L196"/>
          <cell r="M196"/>
          <cell r="N196"/>
          <cell r="O196"/>
          <cell r="P196"/>
          <cell r="Q196"/>
          <cell r="R196">
            <v>1.0209999999999999</v>
          </cell>
        </row>
        <row r="197">
          <cell r="A197">
            <v>7532</v>
          </cell>
          <cell r="B197" t="str">
            <v>OUTDOOR THEATER</v>
          </cell>
          <cell r="C197" t="str">
            <v>EA</v>
          </cell>
          <cell r="D197" t="str">
            <v>S</v>
          </cell>
          <cell r="E197"/>
          <cell r="F197">
            <v>1.0209999999999999</v>
          </cell>
          <cell r="G197">
            <v>1.0269999999999999</v>
          </cell>
          <cell r="H197"/>
          <cell r="I197"/>
          <cell r="J197"/>
          <cell r="K197"/>
          <cell r="L197"/>
          <cell r="M197"/>
          <cell r="N197"/>
          <cell r="O197"/>
          <cell r="P197"/>
          <cell r="Q197"/>
          <cell r="R197">
            <v>1.0485669999999998</v>
          </cell>
        </row>
        <row r="198">
          <cell r="A198">
            <v>7541</v>
          </cell>
          <cell r="B198" t="str">
            <v>RECREATIONAL CAMP AND TRAILER PARK</v>
          </cell>
          <cell r="C198" t="str">
            <v>EA</v>
          </cell>
          <cell r="D198" t="str">
            <v>S</v>
          </cell>
          <cell r="E198"/>
          <cell r="F198">
            <v>1.0209999999999999</v>
          </cell>
          <cell r="G198">
            <v>1.0269999999999999</v>
          </cell>
          <cell r="H198"/>
          <cell r="I198"/>
          <cell r="J198"/>
          <cell r="K198"/>
          <cell r="L198"/>
          <cell r="M198"/>
          <cell r="N198"/>
          <cell r="O198"/>
          <cell r="P198"/>
          <cell r="Q198"/>
          <cell r="R198">
            <v>1.0485669999999998</v>
          </cell>
        </row>
        <row r="199">
          <cell r="A199">
            <v>7542</v>
          </cell>
          <cell r="B199" t="str">
            <v>MISCELLANEOUS OUTDOOR RECREATION FACILITY</v>
          </cell>
          <cell r="C199" t="str">
            <v>EA</v>
          </cell>
          <cell r="D199" t="str">
            <v>S</v>
          </cell>
          <cell r="E199"/>
          <cell r="F199">
            <v>1.0209999999999999</v>
          </cell>
          <cell r="G199">
            <v>1.0269999999999999</v>
          </cell>
          <cell r="H199"/>
          <cell r="I199"/>
          <cell r="J199"/>
          <cell r="K199"/>
          <cell r="L199"/>
          <cell r="M199"/>
          <cell r="N199"/>
          <cell r="O199"/>
          <cell r="P199"/>
          <cell r="Q199"/>
          <cell r="R199">
            <v>1.0485669999999998</v>
          </cell>
        </row>
        <row r="200">
          <cell r="A200">
            <v>7601</v>
          </cell>
          <cell r="B200" t="str">
            <v>MUSEUM</v>
          </cell>
          <cell r="C200" t="str">
            <v>SF</v>
          </cell>
          <cell r="D200" t="str">
            <v>B</v>
          </cell>
          <cell r="E200">
            <v>1.0740000000000001</v>
          </cell>
          <cell r="F200">
            <v>1.0209999999999999</v>
          </cell>
          <cell r="G200">
            <v>1.0269999999999999</v>
          </cell>
          <cell r="H200">
            <v>1.0029999999999999</v>
          </cell>
          <cell r="I200">
            <v>1.0289999999999999</v>
          </cell>
          <cell r="J200">
            <v>1.0049999999999999</v>
          </cell>
          <cell r="K200">
            <v>1.026</v>
          </cell>
          <cell r="L200">
            <v>1.0129999999999999</v>
          </cell>
          <cell r="M200">
            <v>1.0029999999999999</v>
          </cell>
          <cell r="N200">
            <v>1.0029999999999999</v>
          </cell>
          <cell r="O200">
            <v>1.0209999999999999</v>
          </cell>
          <cell r="P200">
            <v>1.032</v>
          </cell>
          <cell r="Q200">
            <v>1.0349999999999999</v>
          </cell>
          <cell r="R200">
            <v>1.3319480854780448</v>
          </cell>
        </row>
        <row r="201">
          <cell r="A201">
            <v>7604</v>
          </cell>
          <cell r="B201" t="str">
            <v>COLUMBARIUM</v>
          </cell>
          <cell r="C201" t="str">
            <v>CF</v>
          </cell>
          <cell r="D201" t="str">
            <v>S</v>
          </cell>
          <cell r="E201"/>
          <cell r="F201">
            <v>1.0209999999999999</v>
          </cell>
          <cell r="G201">
            <v>1.0269999999999999</v>
          </cell>
          <cell r="H201"/>
          <cell r="I201"/>
          <cell r="J201"/>
          <cell r="K201"/>
          <cell r="L201"/>
          <cell r="M201"/>
          <cell r="N201"/>
          <cell r="O201"/>
          <cell r="P201">
            <v>1.032</v>
          </cell>
          <cell r="Q201">
            <v>1.0349999999999999</v>
          </cell>
          <cell r="R201">
            <v>1.1199953840399997</v>
          </cell>
        </row>
        <row r="202">
          <cell r="A202">
            <v>8111</v>
          </cell>
          <cell r="B202" t="str">
            <v>ELECTRICAL POWER SOURCE</v>
          </cell>
          <cell r="C202" t="str">
            <v>KW</v>
          </cell>
          <cell r="D202" t="str">
            <v>S</v>
          </cell>
          <cell r="E202"/>
          <cell r="F202">
            <v>1.0209999999999999</v>
          </cell>
          <cell r="G202"/>
          <cell r="H202"/>
          <cell r="I202"/>
          <cell r="J202"/>
          <cell r="K202"/>
          <cell r="L202"/>
          <cell r="M202"/>
          <cell r="N202"/>
          <cell r="O202"/>
          <cell r="P202">
            <v>1.032</v>
          </cell>
          <cell r="Q202">
            <v>1.0349999999999999</v>
          </cell>
          <cell r="R202">
            <v>1.0905505199999999</v>
          </cell>
        </row>
        <row r="203">
          <cell r="A203">
            <v>8113</v>
          </cell>
          <cell r="B203" t="str">
            <v>ELECTRICAL POWER SOURCE HYDROELECTRIC</v>
          </cell>
          <cell r="C203" t="str">
            <v>MW</v>
          </cell>
          <cell r="D203" t="str">
            <v>S</v>
          </cell>
          <cell r="E203"/>
          <cell r="F203">
            <v>1.0209999999999999</v>
          </cell>
          <cell r="G203">
            <v>1.0269999999999999</v>
          </cell>
          <cell r="H203"/>
          <cell r="I203"/>
          <cell r="J203"/>
          <cell r="K203"/>
          <cell r="L203"/>
          <cell r="M203"/>
          <cell r="N203"/>
          <cell r="O203"/>
          <cell r="P203">
            <v>1.032</v>
          </cell>
          <cell r="Q203">
            <v>1.0349999999999999</v>
          </cell>
          <cell r="R203">
            <v>1.1199953840399997</v>
          </cell>
        </row>
        <row r="204">
          <cell r="A204">
            <v>8114</v>
          </cell>
          <cell r="B204" t="str">
            <v>ELECTRICAL POWER SOURCE, WIND GENERATED</v>
          </cell>
          <cell r="C204" t="str">
            <v>KW</v>
          </cell>
          <cell r="D204" t="str">
            <v>S</v>
          </cell>
          <cell r="E204"/>
          <cell r="F204">
            <v>1.0209999999999999</v>
          </cell>
          <cell r="G204">
            <v>1.0269999999999999</v>
          </cell>
          <cell r="H204"/>
          <cell r="I204"/>
          <cell r="J204"/>
          <cell r="K204"/>
          <cell r="L204"/>
          <cell r="M204"/>
          <cell r="N204"/>
          <cell r="O204"/>
          <cell r="P204">
            <v>1.032</v>
          </cell>
          <cell r="Q204">
            <v>1.0349999999999999</v>
          </cell>
          <cell r="R204">
            <v>1.1199953840399997</v>
          </cell>
        </row>
        <row r="205">
          <cell r="A205">
            <v>8115</v>
          </cell>
          <cell r="B205" t="str">
            <v>ELECTRICAL POWER SOURCE, PHOTOVOLTAIC</v>
          </cell>
          <cell r="C205" t="str">
            <v>KW</v>
          </cell>
          <cell r="D205" t="str">
            <v>S</v>
          </cell>
          <cell r="E205"/>
          <cell r="F205">
            <v>1.0209999999999999</v>
          </cell>
          <cell r="G205">
            <v>1.0269999999999999</v>
          </cell>
          <cell r="H205"/>
          <cell r="I205"/>
          <cell r="J205"/>
          <cell r="K205"/>
          <cell r="L205"/>
          <cell r="M205"/>
          <cell r="N205"/>
          <cell r="O205"/>
          <cell r="P205">
            <v>1.032</v>
          </cell>
          <cell r="Q205">
            <v>1.0349999999999999</v>
          </cell>
          <cell r="R205">
            <v>1.1199953840399997</v>
          </cell>
        </row>
        <row r="206">
          <cell r="A206">
            <v>8122</v>
          </cell>
          <cell r="B206" t="str">
            <v>EXTERIOR LIGHTING, POLE</v>
          </cell>
          <cell r="C206" t="str">
            <v>EA</v>
          </cell>
          <cell r="D206" t="str">
            <v>S</v>
          </cell>
          <cell r="E206"/>
          <cell r="F206">
            <v>1.0209999999999999</v>
          </cell>
          <cell r="G206"/>
          <cell r="H206"/>
          <cell r="I206"/>
          <cell r="J206"/>
          <cell r="K206"/>
          <cell r="L206"/>
          <cell r="M206"/>
          <cell r="N206"/>
          <cell r="O206"/>
          <cell r="P206">
            <v>1.032</v>
          </cell>
          <cell r="Q206">
            <v>1.0349999999999999</v>
          </cell>
          <cell r="R206">
            <v>1.0905505199999999</v>
          </cell>
        </row>
        <row r="207">
          <cell r="A207">
            <v>8134</v>
          </cell>
          <cell r="B207" t="str">
            <v>LIGHTNING PROTECTION SYSTEM, STAND-ALONE</v>
          </cell>
          <cell r="C207" t="str">
            <v>EA</v>
          </cell>
          <cell r="D207" t="str">
            <v>S</v>
          </cell>
          <cell r="E207"/>
          <cell r="F207">
            <v>1.0209999999999999</v>
          </cell>
          <cell r="G207"/>
          <cell r="H207"/>
          <cell r="I207"/>
          <cell r="J207"/>
          <cell r="K207"/>
          <cell r="L207"/>
          <cell r="M207"/>
          <cell r="N207"/>
          <cell r="O207"/>
          <cell r="P207">
            <v>1.032</v>
          </cell>
          <cell r="Q207">
            <v>1.0349999999999999</v>
          </cell>
          <cell r="R207">
            <v>1.0905505199999999</v>
          </cell>
        </row>
        <row r="208">
          <cell r="A208">
            <v>8211</v>
          </cell>
          <cell r="B208" t="str">
            <v>HEAT SOURCE</v>
          </cell>
          <cell r="C208" t="str">
            <v>MB</v>
          </cell>
          <cell r="D208" t="str">
            <v>S</v>
          </cell>
          <cell r="E208"/>
          <cell r="F208">
            <v>1.0209999999999999</v>
          </cell>
          <cell r="G208"/>
          <cell r="H208"/>
          <cell r="I208"/>
          <cell r="J208"/>
          <cell r="K208"/>
          <cell r="L208"/>
          <cell r="M208"/>
          <cell r="N208"/>
          <cell r="O208"/>
          <cell r="P208">
            <v>1.032</v>
          </cell>
          <cell r="Q208">
            <v>1.0349999999999999</v>
          </cell>
          <cell r="R208">
            <v>1.0905505199999999</v>
          </cell>
        </row>
        <row r="209">
          <cell r="A209">
            <v>8231</v>
          </cell>
          <cell r="B209" t="str">
            <v>HEAT GAS PRODUCTION PLANT</v>
          </cell>
          <cell r="C209" t="str">
            <v>MB</v>
          </cell>
          <cell r="D209" t="str">
            <v>S</v>
          </cell>
          <cell r="E209"/>
          <cell r="F209">
            <v>1.0209999999999999</v>
          </cell>
          <cell r="G209"/>
          <cell r="H209"/>
          <cell r="I209"/>
          <cell r="J209"/>
          <cell r="K209"/>
          <cell r="L209"/>
          <cell r="M209"/>
          <cell r="N209"/>
          <cell r="O209"/>
          <cell r="P209">
            <v>1.032</v>
          </cell>
          <cell r="Q209">
            <v>1.0349999999999999</v>
          </cell>
          <cell r="R209">
            <v>1.0905505199999999</v>
          </cell>
        </row>
        <row r="210">
          <cell r="A210">
            <v>8232</v>
          </cell>
          <cell r="B210" t="str">
            <v>HEAT GAS STORAGE</v>
          </cell>
          <cell r="C210" t="str">
            <v>EA</v>
          </cell>
          <cell r="D210" t="str">
            <v>S</v>
          </cell>
          <cell r="E210"/>
          <cell r="F210">
            <v>1.0209999999999999</v>
          </cell>
          <cell r="G210"/>
          <cell r="H210"/>
          <cell r="I210"/>
          <cell r="J210"/>
          <cell r="K210"/>
          <cell r="L210"/>
          <cell r="M210"/>
          <cell r="N210"/>
          <cell r="O210"/>
          <cell r="P210">
            <v>1.032</v>
          </cell>
          <cell r="Q210">
            <v>1.0349999999999999</v>
          </cell>
          <cell r="R210">
            <v>1.0905505199999999</v>
          </cell>
        </row>
        <row r="211">
          <cell r="A211">
            <v>8241</v>
          </cell>
          <cell r="B211" t="str">
            <v>HEAT GAS DISTRIBUTION LINE</v>
          </cell>
          <cell r="C211" t="str">
            <v>LF</v>
          </cell>
          <cell r="D211" t="str">
            <v>LS</v>
          </cell>
          <cell r="E211"/>
          <cell r="F211">
            <v>1.0209999999999999</v>
          </cell>
          <cell r="G211"/>
          <cell r="H211"/>
          <cell r="I211"/>
          <cell r="J211"/>
          <cell r="K211"/>
          <cell r="L211"/>
          <cell r="M211"/>
          <cell r="N211"/>
          <cell r="O211"/>
          <cell r="P211">
            <v>1.032</v>
          </cell>
          <cell r="Q211">
            <v>1.0349999999999999</v>
          </cell>
          <cell r="R211">
            <v>1.0905505199999999</v>
          </cell>
        </row>
        <row r="212">
          <cell r="A212">
            <v>8261</v>
          </cell>
          <cell r="B212" t="str">
            <v>REFRIGERATION AND AIR CONDITIONING SOURCE</v>
          </cell>
          <cell r="C212" t="str">
            <v>TR</v>
          </cell>
          <cell r="D212" t="str">
            <v>S</v>
          </cell>
          <cell r="E212"/>
          <cell r="F212">
            <v>1.0209999999999999</v>
          </cell>
          <cell r="G212"/>
          <cell r="H212"/>
          <cell r="I212"/>
          <cell r="J212"/>
          <cell r="K212"/>
          <cell r="L212"/>
          <cell r="M212"/>
          <cell r="N212"/>
          <cell r="O212"/>
          <cell r="P212">
            <v>1.032</v>
          </cell>
          <cell r="Q212">
            <v>1.0349999999999999</v>
          </cell>
          <cell r="R212">
            <v>1.0905505199999999</v>
          </cell>
        </row>
        <row r="213">
          <cell r="A213">
            <v>8271</v>
          </cell>
          <cell r="B213" t="str">
            <v>CHILLED WATER AND REFRIGERANT DISTRIBUTION LINE</v>
          </cell>
          <cell r="C213" t="str">
            <v>LF</v>
          </cell>
          <cell r="D213" t="str">
            <v>LS</v>
          </cell>
          <cell r="E213"/>
          <cell r="F213">
            <v>1.0209999999999999</v>
          </cell>
          <cell r="G213"/>
          <cell r="H213"/>
          <cell r="I213"/>
          <cell r="J213"/>
          <cell r="K213"/>
          <cell r="L213"/>
          <cell r="M213"/>
          <cell r="N213"/>
          <cell r="O213"/>
          <cell r="P213">
            <v>1.032</v>
          </cell>
          <cell r="Q213">
            <v>1.0349999999999999</v>
          </cell>
          <cell r="R213">
            <v>1.0905505199999999</v>
          </cell>
        </row>
        <row r="214">
          <cell r="A214">
            <v>8311</v>
          </cell>
          <cell r="B214" t="str">
            <v>SEWAGE TREATMENT</v>
          </cell>
          <cell r="C214" t="str">
            <v>KG</v>
          </cell>
          <cell r="D214" t="str">
            <v>S</v>
          </cell>
          <cell r="E214"/>
          <cell r="F214">
            <v>1.0209999999999999</v>
          </cell>
          <cell r="G214">
            <v>1.0269999999999999</v>
          </cell>
          <cell r="H214"/>
          <cell r="I214"/>
          <cell r="J214"/>
          <cell r="K214"/>
          <cell r="L214"/>
          <cell r="M214"/>
          <cell r="N214"/>
          <cell r="O214"/>
          <cell r="P214">
            <v>1.032</v>
          </cell>
          <cell r="Q214">
            <v>1.0349999999999999</v>
          </cell>
          <cell r="R214">
            <v>1.1199953840399997</v>
          </cell>
        </row>
        <row r="215">
          <cell r="A215">
            <v>8312</v>
          </cell>
          <cell r="B215" t="str">
            <v>INDUSTRIAL WASTE TREATMENT</v>
          </cell>
          <cell r="C215" t="str">
            <v>KG</v>
          </cell>
          <cell r="D215" t="str">
            <v>S</v>
          </cell>
          <cell r="E215"/>
          <cell r="F215">
            <v>1.0209999999999999</v>
          </cell>
          <cell r="G215">
            <v>1.0269999999999999</v>
          </cell>
          <cell r="H215"/>
          <cell r="I215"/>
          <cell r="J215"/>
          <cell r="K215"/>
          <cell r="L215"/>
          <cell r="M215"/>
          <cell r="N215"/>
          <cell r="O215"/>
          <cell r="P215">
            <v>1.032</v>
          </cell>
          <cell r="Q215">
            <v>1.0349999999999999</v>
          </cell>
          <cell r="R215">
            <v>1.1199953840399997</v>
          </cell>
        </row>
        <row r="216">
          <cell r="A216">
            <v>8313</v>
          </cell>
          <cell r="B216" t="str">
            <v>WATER SEPARATION FACILITY</v>
          </cell>
          <cell r="C216" t="str">
            <v>KG</v>
          </cell>
          <cell r="D216" t="str">
            <v>S</v>
          </cell>
          <cell r="E216"/>
          <cell r="F216">
            <v>1.0209999999999999</v>
          </cell>
          <cell r="G216">
            <v>1.0269999999999999</v>
          </cell>
          <cell r="H216"/>
          <cell r="I216"/>
          <cell r="J216"/>
          <cell r="K216"/>
          <cell r="L216"/>
          <cell r="M216"/>
          <cell r="N216"/>
          <cell r="O216"/>
          <cell r="P216">
            <v>1.032</v>
          </cell>
          <cell r="Q216">
            <v>1.0349999999999999</v>
          </cell>
          <cell r="R216">
            <v>1.1199953840399997</v>
          </cell>
        </row>
        <row r="217">
          <cell r="A217">
            <v>8314</v>
          </cell>
          <cell r="B217" t="str">
            <v>SEPTIC TANK AND DRAIN FIELD</v>
          </cell>
          <cell r="C217" t="str">
            <v>GA</v>
          </cell>
          <cell r="D217" t="str">
            <v>S</v>
          </cell>
          <cell r="E217"/>
          <cell r="F217">
            <v>1.0209999999999999</v>
          </cell>
          <cell r="G217"/>
          <cell r="H217"/>
          <cell r="I217"/>
          <cell r="J217"/>
          <cell r="K217"/>
          <cell r="L217"/>
          <cell r="M217"/>
          <cell r="N217"/>
          <cell r="O217"/>
          <cell r="P217">
            <v>1.032</v>
          </cell>
          <cell r="Q217">
            <v>1.0349999999999999</v>
          </cell>
          <cell r="R217">
            <v>1.0905505199999999</v>
          </cell>
        </row>
        <row r="218">
          <cell r="A218">
            <v>8315</v>
          </cell>
          <cell r="B218" t="str">
            <v>SEPTIC LAGOON AND SETTLEMENT PONDS</v>
          </cell>
          <cell r="C218" t="str">
            <v>GA</v>
          </cell>
          <cell r="D218" t="str">
            <v>S</v>
          </cell>
          <cell r="E218"/>
          <cell r="F218">
            <v>1.0209999999999999</v>
          </cell>
          <cell r="G218"/>
          <cell r="H218"/>
          <cell r="I218"/>
          <cell r="J218"/>
          <cell r="K218"/>
          <cell r="L218"/>
          <cell r="M218"/>
          <cell r="N218"/>
          <cell r="O218"/>
          <cell r="P218">
            <v>1.032</v>
          </cell>
          <cell r="Q218">
            <v>1.0349999999999999</v>
          </cell>
          <cell r="R218">
            <v>1.0905505199999999</v>
          </cell>
        </row>
        <row r="219">
          <cell r="A219">
            <v>8321</v>
          </cell>
          <cell r="B219" t="str">
            <v>SEWER AND INDUSTRIAL WASTE LINE</v>
          </cell>
          <cell r="C219" t="str">
            <v>LF</v>
          </cell>
          <cell r="D219" t="str">
            <v>LS</v>
          </cell>
          <cell r="E219"/>
          <cell r="F219">
            <v>1.0209999999999999</v>
          </cell>
          <cell r="G219"/>
          <cell r="H219"/>
          <cell r="I219"/>
          <cell r="J219"/>
          <cell r="K219"/>
          <cell r="L219"/>
          <cell r="M219"/>
          <cell r="N219"/>
          <cell r="O219"/>
          <cell r="P219">
            <v>1.032</v>
          </cell>
          <cell r="Q219">
            <v>1.0349999999999999</v>
          </cell>
          <cell r="R219">
            <v>1.0905505199999999</v>
          </cell>
        </row>
        <row r="220">
          <cell r="A220">
            <v>8331</v>
          </cell>
          <cell r="B220" t="str">
            <v>REFUSE COLLECTION AND RECYCLING FACILITY</v>
          </cell>
          <cell r="C220" t="str">
            <v>EA</v>
          </cell>
          <cell r="D220" t="str">
            <v>S</v>
          </cell>
          <cell r="E220"/>
          <cell r="F220">
            <v>1.0209999999999999</v>
          </cell>
          <cell r="G220">
            <v>1.0269999999999999</v>
          </cell>
          <cell r="H220"/>
          <cell r="I220"/>
          <cell r="J220"/>
          <cell r="K220"/>
          <cell r="L220"/>
          <cell r="M220"/>
          <cell r="N220"/>
          <cell r="O220"/>
          <cell r="P220"/>
          <cell r="Q220"/>
          <cell r="R220">
            <v>1.0485669999999998</v>
          </cell>
        </row>
        <row r="221">
          <cell r="A221">
            <v>8332</v>
          </cell>
          <cell r="B221" t="str">
            <v>INCINERATOR</v>
          </cell>
          <cell r="C221" t="str">
            <v>TH</v>
          </cell>
          <cell r="D221" t="str">
            <v>S</v>
          </cell>
          <cell r="E221"/>
          <cell r="F221">
            <v>1.0209999999999999</v>
          </cell>
          <cell r="G221">
            <v>1.0269999999999999</v>
          </cell>
          <cell r="H221"/>
          <cell r="I221"/>
          <cell r="J221"/>
          <cell r="K221"/>
          <cell r="L221"/>
          <cell r="M221"/>
          <cell r="N221"/>
          <cell r="O221"/>
          <cell r="P221">
            <v>1.032</v>
          </cell>
          <cell r="Q221">
            <v>1.0349999999999999</v>
          </cell>
          <cell r="R221">
            <v>1.1199953840399997</v>
          </cell>
        </row>
        <row r="222">
          <cell r="A222">
            <v>8333</v>
          </cell>
          <cell r="B222" t="str">
            <v>SANITARY LANDFILL</v>
          </cell>
          <cell r="C222" t="str">
            <v>AC</v>
          </cell>
          <cell r="D222" t="str">
            <v>S</v>
          </cell>
          <cell r="E222"/>
          <cell r="F222">
            <v>1.0209999999999999</v>
          </cell>
          <cell r="G222">
            <v>1.0269999999999999</v>
          </cell>
          <cell r="H222"/>
          <cell r="I222"/>
          <cell r="J222"/>
          <cell r="K222"/>
          <cell r="L222"/>
          <cell r="M222"/>
          <cell r="N222"/>
          <cell r="O222"/>
          <cell r="P222">
            <v>1.032</v>
          </cell>
          <cell r="Q222">
            <v>1.0349999999999999</v>
          </cell>
          <cell r="R222">
            <v>1.1199953840399997</v>
          </cell>
        </row>
        <row r="223">
          <cell r="A223">
            <v>8334</v>
          </cell>
          <cell r="B223" t="str">
            <v>HAZARDOUS WASTE LANDFILL</v>
          </cell>
          <cell r="C223" t="str">
            <v>AC</v>
          </cell>
          <cell r="D223" t="str">
            <v>S</v>
          </cell>
          <cell r="E223"/>
          <cell r="F223">
            <v>1.0209999999999999</v>
          </cell>
          <cell r="G223">
            <v>1.0269999999999999</v>
          </cell>
          <cell r="H223"/>
          <cell r="I223"/>
          <cell r="J223"/>
          <cell r="K223"/>
          <cell r="L223"/>
          <cell r="M223"/>
          <cell r="N223"/>
          <cell r="O223"/>
          <cell r="P223">
            <v>1.032</v>
          </cell>
          <cell r="Q223">
            <v>1.0349999999999999</v>
          </cell>
          <cell r="R223">
            <v>1.1199953840399997</v>
          </cell>
        </row>
        <row r="224">
          <cell r="A224">
            <v>8412</v>
          </cell>
          <cell r="B224" t="str">
            <v>WATER TREATMENT FACILITY</v>
          </cell>
          <cell r="C224" t="str">
            <v>KG</v>
          </cell>
          <cell r="D224" t="str">
            <v>S</v>
          </cell>
          <cell r="E224"/>
          <cell r="F224">
            <v>1.0209999999999999</v>
          </cell>
          <cell r="G224">
            <v>1.0269999999999999</v>
          </cell>
          <cell r="H224"/>
          <cell r="I224"/>
          <cell r="J224"/>
          <cell r="K224"/>
          <cell r="L224"/>
          <cell r="M224"/>
          <cell r="N224"/>
          <cell r="O224"/>
          <cell r="P224">
            <v>1.032</v>
          </cell>
          <cell r="Q224">
            <v>1.0349999999999999</v>
          </cell>
          <cell r="R224">
            <v>1.1199953840399997</v>
          </cell>
        </row>
        <row r="225">
          <cell r="A225">
            <v>8413</v>
          </cell>
          <cell r="B225" t="str">
            <v>WATER STORAGE, POTABLE</v>
          </cell>
          <cell r="C225" t="str">
            <v>GA</v>
          </cell>
          <cell r="D225" t="str">
            <v>S</v>
          </cell>
          <cell r="E225"/>
          <cell r="F225">
            <v>1.0209999999999999</v>
          </cell>
          <cell r="G225"/>
          <cell r="H225"/>
          <cell r="I225"/>
          <cell r="J225"/>
          <cell r="K225"/>
          <cell r="L225"/>
          <cell r="M225"/>
          <cell r="N225"/>
          <cell r="O225"/>
          <cell r="P225">
            <v>1.032</v>
          </cell>
          <cell r="Q225">
            <v>1.0349999999999999</v>
          </cell>
          <cell r="R225">
            <v>1.0905505199999999</v>
          </cell>
        </row>
        <row r="226">
          <cell r="A226">
            <v>8414</v>
          </cell>
          <cell r="B226" t="str">
            <v>WATER WELL, POTABLE</v>
          </cell>
          <cell r="C226" t="str">
            <v>KG</v>
          </cell>
          <cell r="D226" t="str">
            <v>S</v>
          </cell>
          <cell r="E226"/>
          <cell r="F226">
            <v>1.0209999999999999</v>
          </cell>
          <cell r="G226"/>
          <cell r="H226"/>
          <cell r="I226"/>
          <cell r="J226"/>
          <cell r="K226"/>
          <cell r="L226"/>
          <cell r="M226"/>
          <cell r="N226"/>
          <cell r="O226"/>
          <cell r="P226"/>
          <cell r="Q226"/>
          <cell r="R226">
            <v>1.0209999999999999</v>
          </cell>
        </row>
        <row r="227">
          <cell r="A227">
            <v>8415</v>
          </cell>
          <cell r="B227" t="str">
            <v>DESALINIZATION PLANT</v>
          </cell>
          <cell r="C227" t="str">
            <v>KG</v>
          </cell>
          <cell r="D227" t="str">
            <v>S</v>
          </cell>
          <cell r="E227"/>
          <cell r="F227">
            <v>1.0209999999999999</v>
          </cell>
          <cell r="G227">
            <v>1.0269999999999999</v>
          </cell>
          <cell r="H227"/>
          <cell r="I227"/>
          <cell r="J227"/>
          <cell r="K227"/>
          <cell r="L227"/>
          <cell r="M227"/>
          <cell r="N227"/>
          <cell r="O227"/>
          <cell r="P227">
            <v>1.032</v>
          </cell>
          <cell r="Q227">
            <v>1.0349999999999999</v>
          </cell>
          <cell r="R227">
            <v>1.1199953840399997</v>
          </cell>
        </row>
        <row r="228">
          <cell r="A228">
            <v>8421</v>
          </cell>
          <cell r="B228" t="str">
            <v>WATER DISTRIBUTION LINE, POTABLE</v>
          </cell>
          <cell r="C228" t="str">
            <v>LF</v>
          </cell>
          <cell r="D228" t="str">
            <v>LS</v>
          </cell>
          <cell r="E228"/>
          <cell r="F228">
            <v>1.0209999999999999</v>
          </cell>
          <cell r="G228"/>
          <cell r="H228"/>
          <cell r="I228"/>
          <cell r="J228"/>
          <cell r="K228"/>
          <cell r="L228"/>
          <cell r="M228"/>
          <cell r="N228"/>
          <cell r="O228"/>
          <cell r="P228">
            <v>1.032</v>
          </cell>
          <cell r="Q228">
            <v>1.0349999999999999</v>
          </cell>
          <cell r="R228">
            <v>1.0905505199999999</v>
          </cell>
        </row>
        <row r="229">
          <cell r="A229">
            <v>8432</v>
          </cell>
          <cell r="B229" t="str">
            <v>WATER DISTRIBUTION LINE, FIRE PROTECTION</v>
          </cell>
          <cell r="C229" t="str">
            <v>LF</v>
          </cell>
          <cell r="D229" t="str">
            <v>LS</v>
          </cell>
          <cell r="E229"/>
          <cell r="F229">
            <v>1.0209999999999999</v>
          </cell>
          <cell r="G229"/>
          <cell r="H229"/>
          <cell r="I229"/>
          <cell r="J229"/>
          <cell r="K229"/>
          <cell r="L229"/>
          <cell r="M229"/>
          <cell r="N229"/>
          <cell r="O229"/>
          <cell r="P229">
            <v>1.032</v>
          </cell>
          <cell r="Q229">
            <v>1.0349999999999999</v>
          </cell>
          <cell r="R229">
            <v>1.0905505199999999</v>
          </cell>
        </row>
        <row r="230">
          <cell r="A230">
            <v>8441</v>
          </cell>
          <cell r="B230" t="str">
            <v>WATER SOURCE, NON-POTABLE</v>
          </cell>
          <cell r="C230" t="str">
            <v>KG</v>
          </cell>
          <cell r="D230" t="str">
            <v>S</v>
          </cell>
          <cell r="E230"/>
          <cell r="F230">
            <v>1.0209999999999999</v>
          </cell>
          <cell r="G230"/>
          <cell r="H230"/>
          <cell r="I230"/>
          <cell r="J230"/>
          <cell r="K230"/>
          <cell r="L230"/>
          <cell r="M230"/>
          <cell r="N230"/>
          <cell r="O230"/>
          <cell r="P230">
            <v>1.032</v>
          </cell>
          <cell r="Q230">
            <v>1.0349999999999999</v>
          </cell>
          <cell r="R230">
            <v>1.0905505199999999</v>
          </cell>
        </row>
        <row r="231">
          <cell r="A231">
            <v>8442</v>
          </cell>
          <cell r="B231" t="str">
            <v>WATER STORAGE, NON-POTABLE</v>
          </cell>
          <cell r="C231" t="str">
            <v>GA</v>
          </cell>
          <cell r="D231" t="str">
            <v>S</v>
          </cell>
          <cell r="E231"/>
          <cell r="F231">
            <v>1.0209999999999999</v>
          </cell>
          <cell r="G231"/>
          <cell r="H231"/>
          <cell r="I231"/>
          <cell r="J231"/>
          <cell r="K231"/>
          <cell r="L231"/>
          <cell r="M231"/>
          <cell r="N231"/>
          <cell r="O231"/>
          <cell r="P231">
            <v>1.032</v>
          </cell>
          <cell r="Q231">
            <v>1.0349999999999999</v>
          </cell>
          <cell r="R231">
            <v>1.0905505199999999</v>
          </cell>
        </row>
        <row r="232">
          <cell r="A232">
            <v>8511</v>
          </cell>
          <cell r="B232" t="str">
            <v>ROAD, SURFACED</v>
          </cell>
          <cell r="C232" t="str">
            <v>SY</v>
          </cell>
          <cell r="D232" t="str">
            <v>LS</v>
          </cell>
          <cell r="E232"/>
          <cell r="F232">
            <v>1.0209999999999999</v>
          </cell>
          <cell r="G232">
            <v>1.0269999999999999</v>
          </cell>
          <cell r="H232"/>
          <cell r="I232"/>
          <cell r="J232"/>
          <cell r="K232"/>
          <cell r="L232"/>
          <cell r="M232"/>
          <cell r="N232"/>
          <cell r="O232"/>
          <cell r="P232">
            <v>1.032</v>
          </cell>
          <cell r="Q232">
            <v>1.0349999999999999</v>
          </cell>
          <cell r="R232">
            <v>1.1199953840399997</v>
          </cell>
        </row>
        <row r="233">
          <cell r="A233">
            <v>8513</v>
          </cell>
          <cell r="B233" t="str">
            <v>VEHICLE BRIDGE</v>
          </cell>
          <cell r="C233" t="str">
            <v>SY</v>
          </cell>
          <cell r="D233" t="str">
            <v>S</v>
          </cell>
          <cell r="E233"/>
          <cell r="F233">
            <v>1.0209999999999999</v>
          </cell>
          <cell r="G233">
            <v>1.0269999999999999</v>
          </cell>
          <cell r="H233"/>
          <cell r="I233"/>
          <cell r="J233"/>
          <cell r="K233"/>
          <cell r="L233"/>
          <cell r="M233"/>
          <cell r="N233"/>
          <cell r="O233"/>
          <cell r="P233">
            <v>1.032</v>
          </cell>
          <cell r="Q233">
            <v>1.0349999999999999</v>
          </cell>
          <cell r="R233">
            <v>1.1199953840399997</v>
          </cell>
        </row>
        <row r="234">
          <cell r="A234">
            <v>8514</v>
          </cell>
          <cell r="B234" t="str">
            <v>VEHICULAR TUNNEL</v>
          </cell>
          <cell r="C234" t="str">
            <v>LF</v>
          </cell>
          <cell r="D234" t="str">
            <v>LS</v>
          </cell>
          <cell r="E234"/>
          <cell r="F234">
            <v>1.0209999999999999</v>
          </cell>
          <cell r="G234">
            <v>1.0269999999999999</v>
          </cell>
          <cell r="H234"/>
          <cell r="I234"/>
          <cell r="J234"/>
          <cell r="K234"/>
          <cell r="L234"/>
          <cell r="M234"/>
          <cell r="N234"/>
          <cell r="O234"/>
          <cell r="P234">
            <v>1.032</v>
          </cell>
          <cell r="Q234">
            <v>1.0349999999999999</v>
          </cell>
          <cell r="R234">
            <v>1.1199953840399997</v>
          </cell>
        </row>
        <row r="235">
          <cell r="A235">
            <v>8521</v>
          </cell>
          <cell r="B235" t="str">
            <v>VEHICLE PARKING, SURFACED</v>
          </cell>
          <cell r="C235" t="str">
            <v>SY</v>
          </cell>
          <cell r="D235" t="str">
            <v>LS</v>
          </cell>
          <cell r="E235"/>
          <cell r="F235">
            <v>1.0209999999999999</v>
          </cell>
          <cell r="G235">
            <v>1.0269999999999999</v>
          </cell>
          <cell r="H235"/>
          <cell r="I235"/>
          <cell r="J235"/>
          <cell r="K235"/>
          <cell r="L235"/>
          <cell r="M235"/>
          <cell r="N235"/>
          <cell r="O235"/>
          <cell r="P235">
            <v>1.032</v>
          </cell>
          <cell r="Q235">
            <v>1.0349999999999999</v>
          </cell>
          <cell r="R235">
            <v>1.1199953840399997</v>
          </cell>
        </row>
        <row r="236">
          <cell r="A236">
            <v>8522</v>
          </cell>
          <cell r="B236" t="str">
            <v>VEHICLE PARKING AND STAGING AREA, UNSURFACED</v>
          </cell>
          <cell r="C236" t="str">
            <v>SY</v>
          </cell>
          <cell r="D236" t="str">
            <v>LS</v>
          </cell>
          <cell r="E236"/>
          <cell r="F236">
            <v>1.0209999999999999</v>
          </cell>
          <cell r="G236"/>
          <cell r="H236"/>
          <cell r="I236"/>
          <cell r="J236"/>
          <cell r="K236"/>
          <cell r="L236"/>
          <cell r="M236"/>
          <cell r="N236"/>
          <cell r="O236"/>
          <cell r="P236"/>
          <cell r="Q236"/>
          <cell r="R236">
            <v>1.0209999999999999</v>
          </cell>
        </row>
        <row r="237">
          <cell r="A237">
            <v>8523</v>
          </cell>
          <cell r="B237" t="str">
            <v>VEHICLE STAGING AREA, SURFACED</v>
          </cell>
          <cell r="C237" t="str">
            <v>SY</v>
          </cell>
          <cell r="D237" t="str">
            <v>LS</v>
          </cell>
          <cell r="E237"/>
          <cell r="F237">
            <v>1.0209999999999999</v>
          </cell>
          <cell r="G237">
            <v>1.0269999999999999</v>
          </cell>
          <cell r="H237"/>
          <cell r="I237"/>
          <cell r="J237"/>
          <cell r="K237"/>
          <cell r="L237"/>
          <cell r="M237"/>
          <cell r="N237"/>
          <cell r="O237"/>
          <cell r="P237">
            <v>1.032</v>
          </cell>
          <cell r="Q237">
            <v>1.0349999999999999</v>
          </cell>
          <cell r="R237">
            <v>1.1199953840399997</v>
          </cell>
        </row>
        <row r="238">
          <cell r="A238">
            <v>8524</v>
          </cell>
          <cell r="B238" t="str">
            <v>SIDEWALK AND WALKWAY</v>
          </cell>
          <cell r="C238" t="str">
            <v>SY</v>
          </cell>
          <cell r="D238" t="str">
            <v>S</v>
          </cell>
          <cell r="E238"/>
          <cell r="F238">
            <v>1.0209999999999999</v>
          </cell>
          <cell r="G238"/>
          <cell r="H238"/>
          <cell r="I238"/>
          <cell r="J238"/>
          <cell r="K238"/>
          <cell r="L238"/>
          <cell r="M238"/>
          <cell r="N238"/>
          <cell r="O238"/>
          <cell r="P238"/>
          <cell r="Q238"/>
          <cell r="R238">
            <v>1.0209999999999999</v>
          </cell>
        </row>
        <row r="239">
          <cell r="A239">
            <v>8525</v>
          </cell>
          <cell r="B239" t="str">
            <v>PEDESTRIAN BRIDGE</v>
          </cell>
          <cell r="C239" t="str">
            <v>SY</v>
          </cell>
          <cell r="D239" t="str">
            <v>S</v>
          </cell>
          <cell r="E239"/>
          <cell r="F239">
            <v>1.0209999999999999</v>
          </cell>
          <cell r="G239"/>
          <cell r="H239"/>
          <cell r="I239"/>
          <cell r="J239"/>
          <cell r="K239"/>
          <cell r="L239"/>
          <cell r="M239"/>
          <cell r="N239"/>
          <cell r="O239"/>
          <cell r="P239">
            <v>1.032</v>
          </cell>
          <cell r="Q239">
            <v>1.0349999999999999</v>
          </cell>
          <cell r="R239">
            <v>1.0905505199999999</v>
          </cell>
        </row>
        <row r="240">
          <cell r="A240">
            <v>8526</v>
          </cell>
          <cell r="B240" t="str">
            <v>MISCELLANEOUS PAVED AREA</v>
          </cell>
          <cell r="C240" t="str">
            <v>SY</v>
          </cell>
          <cell r="D240" t="str">
            <v>LS</v>
          </cell>
          <cell r="E240"/>
          <cell r="F240">
            <v>1.0209999999999999</v>
          </cell>
          <cell r="G240"/>
          <cell r="H240"/>
          <cell r="I240"/>
          <cell r="J240"/>
          <cell r="K240"/>
          <cell r="L240"/>
          <cell r="M240"/>
          <cell r="N240"/>
          <cell r="O240"/>
          <cell r="P240">
            <v>1.032</v>
          </cell>
          <cell r="Q240">
            <v>1.0349999999999999</v>
          </cell>
          <cell r="R240">
            <v>1.0905505199999999</v>
          </cell>
        </row>
        <row r="241">
          <cell r="A241">
            <v>8541</v>
          </cell>
          <cell r="B241" t="str">
            <v>TRAFFIC CONTROL SIGNALS</v>
          </cell>
          <cell r="C241" t="str">
            <v>EA</v>
          </cell>
          <cell r="D241" t="str">
            <v>S</v>
          </cell>
          <cell r="E241"/>
          <cell r="F241">
            <v>1.0209999999999999</v>
          </cell>
          <cell r="G241"/>
          <cell r="H241"/>
          <cell r="I241"/>
          <cell r="J241"/>
          <cell r="K241"/>
          <cell r="L241"/>
          <cell r="M241"/>
          <cell r="N241"/>
          <cell r="O241"/>
          <cell r="P241">
            <v>1.032</v>
          </cell>
          <cell r="Q241">
            <v>1.0349999999999999</v>
          </cell>
          <cell r="R241">
            <v>1.0905505199999999</v>
          </cell>
        </row>
        <row r="242">
          <cell r="A242">
            <v>8601</v>
          </cell>
          <cell r="B242" t="str">
            <v>RAILROAD TRACK</v>
          </cell>
          <cell r="C242" t="str">
            <v>MI</v>
          </cell>
          <cell r="D242" t="str">
            <v>LS</v>
          </cell>
          <cell r="E242"/>
          <cell r="F242">
            <v>1.0209999999999999</v>
          </cell>
          <cell r="G242">
            <v>1.0269999999999999</v>
          </cell>
          <cell r="H242"/>
          <cell r="I242"/>
          <cell r="J242"/>
          <cell r="K242"/>
          <cell r="L242"/>
          <cell r="M242"/>
          <cell r="N242"/>
          <cell r="O242"/>
          <cell r="P242">
            <v>1.032</v>
          </cell>
          <cell r="Q242">
            <v>1.0349999999999999</v>
          </cell>
          <cell r="R242">
            <v>1.1199953840399997</v>
          </cell>
        </row>
        <row r="243">
          <cell r="A243">
            <v>8611</v>
          </cell>
          <cell r="B243" t="str">
            <v>RAILROAD BRIDGE</v>
          </cell>
          <cell r="C243" t="str">
            <v>LF</v>
          </cell>
          <cell r="D243" t="str">
            <v>S</v>
          </cell>
          <cell r="E243"/>
          <cell r="F243">
            <v>1.0209999999999999</v>
          </cell>
          <cell r="G243">
            <v>1.0269999999999999</v>
          </cell>
          <cell r="H243"/>
          <cell r="I243"/>
          <cell r="J243"/>
          <cell r="K243"/>
          <cell r="L243"/>
          <cell r="M243"/>
          <cell r="N243"/>
          <cell r="O243"/>
          <cell r="P243">
            <v>1.032</v>
          </cell>
          <cell r="Q243">
            <v>1.0349999999999999</v>
          </cell>
          <cell r="R243">
            <v>1.1199953840399997</v>
          </cell>
        </row>
        <row r="244">
          <cell r="A244">
            <v>8612</v>
          </cell>
          <cell r="B244" t="str">
            <v>MISCELLANEOUS RAILROAD FACILITY</v>
          </cell>
          <cell r="C244" t="str">
            <v>EA</v>
          </cell>
          <cell r="D244" t="str">
            <v>S</v>
          </cell>
          <cell r="E244"/>
          <cell r="F244">
            <v>1.0209999999999999</v>
          </cell>
          <cell r="G244"/>
          <cell r="H244"/>
          <cell r="I244"/>
          <cell r="J244"/>
          <cell r="K244"/>
          <cell r="L244"/>
          <cell r="M244"/>
          <cell r="N244"/>
          <cell r="O244"/>
          <cell r="P244">
            <v>1.032</v>
          </cell>
          <cell r="Q244">
            <v>1.0349999999999999</v>
          </cell>
          <cell r="R244">
            <v>1.0905505199999999</v>
          </cell>
        </row>
        <row r="245">
          <cell r="A245">
            <v>8711</v>
          </cell>
          <cell r="B245" t="str">
            <v>STORM DRAINAGE</v>
          </cell>
          <cell r="C245" t="str">
            <v>LF</v>
          </cell>
          <cell r="D245" t="str">
            <v>LS</v>
          </cell>
          <cell r="E245"/>
          <cell r="F245">
            <v>1.0209999999999999</v>
          </cell>
          <cell r="G245"/>
          <cell r="H245"/>
          <cell r="I245"/>
          <cell r="J245"/>
          <cell r="K245"/>
          <cell r="L245"/>
          <cell r="M245"/>
          <cell r="N245"/>
          <cell r="O245"/>
          <cell r="P245">
            <v>1.032</v>
          </cell>
          <cell r="Q245">
            <v>1.0349999999999999</v>
          </cell>
          <cell r="R245">
            <v>1.0905505199999999</v>
          </cell>
        </row>
        <row r="246">
          <cell r="A246">
            <v>8712</v>
          </cell>
          <cell r="B246" t="str">
            <v>RETAINING STRUCTURE</v>
          </cell>
          <cell r="C246" t="str">
            <v>LF</v>
          </cell>
          <cell r="D246" t="str">
            <v>S</v>
          </cell>
          <cell r="E246"/>
          <cell r="F246">
            <v>1.0209999999999999</v>
          </cell>
          <cell r="G246"/>
          <cell r="H246"/>
          <cell r="I246"/>
          <cell r="J246"/>
          <cell r="K246"/>
          <cell r="L246"/>
          <cell r="M246"/>
          <cell r="N246"/>
          <cell r="O246"/>
          <cell r="P246"/>
          <cell r="Q246"/>
          <cell r="R246">
            <v>1.0209999999999999</v>
          </cell>
        </row>
        <row r="247">
          <cell r="A247">
            <v>8714</v>
          </cell>
          <cell r="B247" t="str">
            <v>LEVEES AND DIKES FOR GROUNDS DRAINAGE</v>
          </cell>
          <cell r="C247" t="str">
            <v>LF</v>
          </cell>
          <cell r="D247" t="str">
            <v>S</v>
          </cell>
          <cell r="E247"/>
          <cell r="F247">
            <v>1.0209999999999999</v>
          </cell>
          <cell r="G247"/>
          <cell r="H247"/>
          <cell r="I247"/>
          <cell r="J247"/>
          <cell r="K247"/>
          <cell r="L247"/>
          <cell r="M247"/>
          <cell r="N247"/>
          <cell r="O247"/>
          <cell r="P247"/>
          <cell r="Q247"/>
          <cell r="R247">
            <v>1.0209999999999999</v>
          </cell>
        </row>
        <row r="248">
          <cell r="A248">
            <v>8721</v>
          </cell>
          <cell r="B248" t="str">
            <v>BOUNDARY FENCE AND WALL</v>
          </cell>
          <cell r="C248" t="str">
            <v>LF</v>
          </cell>
          <cell r="D248" t="str">
            <v>LS</v>
          </cell>
          <cell r="E248"/>
          <cell r="F248">
            <v>1.0209999999999999</v>
          </cell>
          <cell r="G248"/>
          <cell r="H248"/>
          <cell r="I248"/>
          <cell r="J248"/>
          <cell r="K248"/>
          <cell r="L248"/>
          <cell r="M248"/>
          <cell r="N248"/>
          <cell r="O248"/>
          <cell r="P248">
            <v>1.032</v>
          </cell>
          <cell r="Q248">
            <v>1.0349999999999999</v>
          </cell>
          <cell r="R248">
            <v>1.0905505199999999</v>
          </cell>
        </row>
        <row r="249">
          <cell r="A249">
            <v>8722</v>
          </cell>
          <cell r="B249" t="str">
            <v>SECURITY FENCE</v>
          </cell>
          <cell r="C249" t="str">
            <v>LF</v>
          </cell>
          <cell r="D249" t="str">
            <v>LS</v>
          </cell>
          <cell r="E249"/>
          <cell r="F249">
            <v>1.0209999999999999</v>
          </cell>
          <cell r="G249"/>
          <cell r="H249"/>
          <cell r="I249"/>
          <cell r="J249"/>
          <cell r="K249"/>
          <cell r="L249"/>
          <cell r="M249"/>
          <cell r="N249"/>
          <cell r="O249"/>
          <cell r="P249">
            <v>1.032</v>
          </cell>
          <cell r="Q249">
            <v>1.0349999999999999</v>
          </cell>
          <cell r="R249">
            <v>1.0905505199999999</v>
          </cell>
        </row>
        <row r="250">
          <cell r="A250">
            <v>8813</v>
          </cell>
          <cell r="B250" t="str">
            <v>NAVIGATION REVETMENTS</v>
          </cell>
          <cell r="C250" t="str">
            <v>LF</v>
          </cell>
          <cell r="D250" t="str">
            <v>LS</v>
          </cell>
          <cell r="E250"/>
          <cell r="F250">
            <v>1.0209999999999999</v>
          </cell>
          <cell r="G250"/>
          <cell r="H250"/>
          <cell r="I250"/>
          <cell r="J250"/>
          <cell r="K250"/>
          <cell r="L250"/>
          <cell r="M250"/>
          <cell r="N250"/>
          <cell r="O250"/>
          <cell r="P250">
            <v>1.032</v>
          </cell>
          <cell r="Q250">
            <v>1.0349999999999999</v>
          </cell>
          <cell r="R250">
            <v>1.0905505199999999</v>
          </cell>
        </row>
        <row r="251">
          <cell r="A251">
            <v>8910</v>
          </cell>
          <cell r="B251" t="str">
            <v>UTILITY BUILDING</v>
          </cell>
          <cell r="C251" t="str">
            <v>SF</v>
          </cell>
          <cell r="D251" t="str">
            <v>B</v>
          </cell>
          <cell r="E251"/>
          <cell r="F251">
            <v>1.0209999999999999</v>
          </cell>
          <cell r="G251">
            <v>1.0269999999999999</v>
          </cell>
          <cell r="H251">
            <v>1.0029999999999999</v>
          </cell>
          <cell r="I251"/>
          <cell r="J251">
            <v>1.0049999999999999</v>
          </cell>
          <cell r="K251"/>
          <cell r="L251"/>
          <cell r="M251"/>
          <cell r="N251">
            <v>1.0029999999999999</v>
          </cell>
          <cell r="O251"/>
          <cell r="P251">
            <v>1.032</v>
          </cell>
          <cell r="Q251">
            <v>1.0349999999999999</v>
          </cell>
          <cell r="R251">
            <v>1.1323590634842093</v>
          </cell>
        </row>
        <row r="252">
          <cell r="A252">
            <v>8921</v>
          </cell>
          <cell r="B252" t="str">
            <v>INSTALLATION GAS PRODUCTION PLANT</v>
          </cell>
          <cell r="C252" t="str">
            <v>EA</v>
          </cell>
          <cell r="D252" t="str">
            <v>S</v>
          </cell>
          <cell r="E252"/>
          <cell r="F252">
            <v>1.0209999999999999</v>
          </cell>
          <cell r="G252">
            <v>1.0269999999999999</v>
          </cell>
          <cell r="H252"/>
          <cell r="I252"/>
          <cell r="J252"/>
          <cell r="K252"/>
          <cell r="L252"/>
          <cell r="M252"/>
          <cell r="N252"/>
          <cell r="O252"/>
          <cell r="P252">
            <v>1.032</v>
          </cell>
          <cell r="Q252">
            <v>1.0349999999999999</v>
          </cell>
          <cell r="R252">
            <v>1.1199953840399997</v>
          </cell>
        </row>
        <row r="253">
          <cell r="A253">
            <v>8922</v>
          </cell>
          <cell r="B253" t="str">
            <v>INSTALLATION GAS STORAGE</v>
          </cell>
          <cell r="C253" t="str">
            <v>EA</v>
          </cell>
          <cell r="D253" t="str">
            <v>S</v>
          </cell>
          <cell r="E253"/>
          <cell r="F253">
            <v>1.0209999999999999</v>
          </cell>
          <cell r="G253"/>
          <cell r="H253"/>
          <cell r="I253"/>
          <cell r="J253"/>
          <cell r="K253"/>
          <cell r="L253"/>
          <cell r="M253"/>
          <cell r="N253"/>
          <cell r="O253"/>
          <cell r="P253"/>
          <cell r="Q253"/>
          <cell r="R253">
            <v>1.0209999999999999</v>
          </cell>
        </row>
        <row r="254">
          <cell r="A254">
            <v>8923</v>
          </cell>
          <cell r="B254" t="str">
            <v>VEHICLE SCALES</v>
          </cell>
          <cell r="C254" t="str">
            <v>EA</v>
          </cell>
          <cell r="D254" t="str">
            <v>S</v>
          </cell>
          <cell r="E254"/>
          <cell r="F254">
            <v>1.0209999999999999</v>
          </cell>
          <cell r="G254"/>
          <cell r="H254"/>
          <cell r="I254"/>
          <cell r="J254"/>
          <cell r="K254"/>
          <cell r="L254"/>
          <cell r="M254"/>
          <cell r="N254">
            <v>1.0029999999999999</v>
          </cell>
          <cell r="O254"/>
          <cell r="P254"/>
          <cell r="Q254"/>
          <cell r="R254">
            <v>1.0240629999999997</v>
          </cell>
        </row>
        <row r="255">
          <cell r="A255">
            <v>8924</v>
          </cell>
          <cell r="B255" t="str">
            <v>MISCELLANEOUS PUMP STATION</v>
          </cell>
          <cell r="C255" t="str">
            <v>EA</v>
          </cell>
          <cell r="D255" t="str">
            <v>S</v>
          </cell>
          <cell r="E255"/>
          <cell r="F255">
            <v>1.0209999999999999</v>
          </cell>
          <cell r="G255"/>
          <cell r="H255"/>
          <cell r="I255"/>
          <cell r="J255"/>
          <cell r="K255"/>
          <cell r="L255"/>
          <cell r="M255"/>
          <cell r="N255">
            <v>1.0029999999999999</v>
          </cell>
          <cell r="O255"/>
          <cell r="P255"/>
          <cell r="Q255"/>
          <cell r="R255">
            <v>1.0240629999999997</v>
          </cell>
        </row>
        <row r="256">
          <cell r="A256">
            <v>8926</v>
          </cell>
          <cell r="B256" t="str">
            <v>HAZARDOUS WASTE STORAGE OR DISPOSAL FACILITY</v>
          </cell>
          <cell r="C256" t="str">
            <v>EA</v>
          </cell>
          <cell r="D256" t="str">
            <v>S</v>
          </cell>
          <cell r="E256"/>
          <cell r="F256">
            <v>1.0209999999999999</v>
          </cell>
          <cell r="G256">
            <v>1.0269999999999999</v>
          </cell>
          <cell r="H256"/>
          <cell r="I256"/>
          <cell r="J256"/>
          <cell r="K256"/>
          <cell r="L256"/>
          <cell r="M256"/>
          <cell r="N256">
            <v>1.0029999999999999</v>
          </cell>
          <cell r="O256"/>
          <cell r="P256"/>
          <cell r="Q256"/>
          <cell r="R256">
            <v>1.0517127009999996</v>
          </cell>
        </row>
        <row r="257">
          <cell r="A257">
            <v>8927</v>
          </cell>
          <cell r="B257" t="str">
            <v>UTILITY VAULTS</v>
          </cell>
          <cell r="C257" t="str">
            <v>EA</v>
          </cell>
          <cell r="D257" t="str">
            <v>S</v>
          </cell>
          <cell r="E257"/>
          <cell r="F257">
            <v>1.0209999999999999</v>
          </cell>
          <cell r="G257"/>
          <cell r="H257"/>
          <cell r="I257"/>
          <cell r="J257"/>
          <cell r="K257"/>
          <cell r="L257"/>
          <cell r="M257"/>
          <cell r="N257"/>
          <cell r="O257"/>
          <cell r="P257"/>
          <cell r="Q257"/>
          <cell r="R257">
            <v>1.0209999999999999</v>
          </cell>
        </row>
        <row r="258">
          <cell r="A258">
            <v>8928</v>
          </cell>
          <cell r="B258" t="str">
            <v>LOADING PLATFORM/RAMP</v>
          </cell>
          <cell r="C258" t="str">
            <v>EA</v>
          </cell>
          <cell r="D258" t="str">
            <v>S</v>
          </cell>
          <cell r="E258"/>
          <cell r="F258">
            <v>1.0209999999999999</v>
          </cell>
          <cell r="G258"/>
          <cell r="H258"/>
          <cell r="I258"/>
          <cell r="J258"/>
          <cell r="K258"/>
          <cell r="L258"/>
          <cell r="M258"/>
          <cell r="N258"/>
          <cell r="O258"/>
          <cell r="P258"/>
          <cell r="Q258"/>
          <cell r="R258">
            <v>1.0209999999999999</v>
          </cell>
        </row>
        <row r="259">
          <cell r="A259">
            <v>8929</v>
          </cell>
          <cell r="B259" t="str">
            <v>MISCELLANEOUS UTILITY FACILITY</v>
          </cell>
          <cell r="C259" t="str">
            <v>EA</v>
          </cell>
          <cell r="D259" t="str">
            <v>S</v>
          </cell>
          <cell r="E259"/>
          <cell r="F259">
            <v>1.0209999999999999</v>
          </cell>
          <cell r="G259"/>
          <cell r="H259"/>
          <cell r="I259"/>
          <cell r="J259"/>
          <cell r="K259"/>
          <cell r="L259"/>
          <cell r="M259"/>
          <cell r="N259"/>
          <cell r="O259"/>
          <cell r="P259"/>
          <cell r="Q259"/>
          <cell r="R259">
            <v>1.0209999999999999</v>
          </cell>
        </row>
        <row r="260">
          <cell r="A260">
            <v>8930</v>
          </cell>
          <cell r="B260" t="str">
            <v>INSTALLATION GAS DISTRIBUTION LINE</v>
          </cell>
          <cell r="C260" t="str">
            <v>LF</v>
          </cell>
          <cell r="D260" t="str">
            <v>LS</v>
          </cell>
          <cell r="E260"/>
          <cell r="F260">
            <v>1.0209999999999999</v>
          </cell>
          <cell r="G260"/>
          <cell r="H260"/>
          <cell r="I260"/>
          <cell r="J260"/>
          <cell r="K260"/>
          <cell r="L260"/>
          <cell r="M260"/>
          <cell r="N260"/>
          <cell r="O260"/>
          <cell r="P260">
            <v>1.032</v>
          </cell>
          <cell r="Q260">
            <v>1.0349999999999999</v>
          </cell>
          <cell r="R260">
            <v>1.0905505199999999</v>
          </cell>
        </row>
        <row r="261">
          <cell r="A261">
            <v>8931</v>
          </cell>
          <cell r="B261" t="str">
            <v>UTILITY TUNNEL</v>
          </cell>
          <cell r="C261" t="str">
            <v>LF</v>
          </cell>
          <cell r="D261" t="str">
            <v>LS</v>
          </cell>
          <cell r="E261"/>
          <cell r="F261">
            <v>1.0209999999999999</v>
          </cell>
          <cell r="G261"/>
          <cell r="H261"/>
          <cell r="I261"/>
          <cell r="J261"/>
          <cell r="K261"/>
          <cell r="L261"/>
          <cell r="M261"/>
          <cell r="N261"/>
          <cell r="O261"/>
          <cell r="P261">
            <v>1.032</v>
          </cell>
          <cell r="Q261">
            <v>1.0349999999999999</v>
          </cell>
          <cell r="R261">
            <v>1.0905505199999999</v>
          </cell>
        </row>
        <row r="262">
          <cell r="A262">
            <v>8932</v>
          </cell>
          <cell r="B262" t="str">
            <v>UTILIITY CHANNEL</v>
          </cell>
          <cell r="C262" t="str">
            <v>LF</v>
          </cell>
          <cell r="D262" t="str">
            <v>LS</v>
          </cell>
          <cell r="E262"/>
          <cell r="F262">
            <v>1.0209999999999999</v>
          </cell>
          <cell r="G262"/>
          <cell r="H262"/>
          <cell r="I262"/>
          <cell r="J262"/>
          <cell r="K262"/>
          <cell r="L262"/>
          <cell r="M262"/>
          <cell r="N262"/>
          <cell r="O262"/>
          <cell r="P262">
            <v>1.032</v>
          </cell>
          <cell r="Q262">
            <v>1.0349999999999999</v>
          </cell>
          <cell r="R262">
            <v>1.0905505199999999</v>
          </cell>
        </row>
        <row r="263">
          <cell r="A263">
            <v>8951</v>
          </cell>
          <cell r="B263" t="str">
            <v>MISCELLANEOUS STORAGE TANK AND BASIN</v>
          </cell>
          <cell r="C263" t="str">
            <v>GA</v>
          </cell>
          <cell r="D263" t="str">
            <v>S</v>
          </cell>
          <cell r="E263"/>
          <cell r="F263">
            <v>1.0209999999999999</v>
          </cell>
          <cell r="G263"/>
          <cell r="H263"/>
          <cell r="I263"/>
          <cell r="J263"/>
          <cell r="K263"/>
          <cell r="L263"/>
          <cell r="M263"/>
          <cell r="N263"/>
          <cell r="O263"/>
          <cell r="P263"/>
          <cell r="Q263"/>
          <cell r="R263">
            <v>1.0209999999999999</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vators"/>
      <sheetName val="IBC Pers per Occ"/>
      <sheetName val="Sheet3"/>
    </sheetNames>
    <sheetDataSet>
      <sheetData sheetId="0" refreshError="1"/>
      <sheetData sheetId="1" refreshError="1">
        <row r="2">
          <cell r="A2" t="str">
            <v>A</v>
          </cell>
          <cell r="B2">
            <v>15</v>
          </cell>
        </row>
        <row r="3">
          <cell r="A3" t="str">
            <v>B</v>
          </cell>
          <cell r="B3">
            <v>100</v>
          </cell>
        </row>
        <row r="4">
          <cell r="A4" t="str">
            <v>E</v>
          </cell>
          <cell r="B4">
            <v>20</v>
          </cell>
        </row>
        <row r="5">
          <cell r="A5" t="str">
            <v>F</v>
          </cell>
          <cell r="B5">
            <v>100</v>
          </cell>
        </row>
        <row r="6">
          <cell r="A6" t="str">
            <v>I</v>
          </cell>
          <cell r="B6">
            <v>120</v>
          </cell>
        </row>
        <row r="7">
          <cell r="A7" t="str">
            <v>M</v>
          </cell>
          <cell r="B7">
            <v>60</v>
          </cell>
        </row>
        <row r="8">
          <cell r="A8" t="str">
            <v>R</v>
          </cell>
          <cell r="B8">
            <v>200</v>
          </cell>
        </row>
        <row r="9">
          <cell r="A9" t="str">
            <v>W</v>
          </cell>
          <cell r="B9">
            <v>500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pageSetUpPr fitToPage="1"/>
  </sheetPr>
  <dimension ref="A1:X4880"/>
  <sheetViews>
    <sheetView tabSelected="1" zoomScaleNormal="100" workbookViewId="0">
      <selection activeCell="A4428" sqref="A4428:C4428"/>
    </sheetView>
  </sheetViews>
  <sheetFormatPr baseColWidth="10" defaultColWidth="8.83203125" defaultRowHeight="45" customHeight="1"/>
  <cols>
    <col min="1" max="1" width="13.83203125" style="307" customWidth="1"/>
    <col min="2" max="3" width="9.1640625" style="59"/>
    <col min="4" max="4" width="38.1640625" style="59" customWidth="1"/>
    <col min="5" max="5" width="19.1640625" style="59" customWidth="1"/>
    <col min="6" max="7" width="17.1640625" style="59" customWidth="1"/>
    <col min="8" max="8" width="17" style="59" customWidth="1"/>
    <col min="9" max="9" width="16.1640625" style="59" customWidth="1"/>
    <col min="10" max="10" width="17.5" style="59" customWidth="1"/>
    <col min="11" max="11" width="19.1640625" style="59" customWidth="1"/>
    <col min="12" max="12" width="9.1640625" style="59" customWidth="1"/>
    <col min="13" max="13" width="15.83203125" style="142" customWidth="1"/>
    <col min="14" max="14" width="15.1640625" style="25" customWidth="1"/>
    <col min="15" max="15" width="49.5" style="1119" customWidth="1"/>
    <col min="16" max="16" width="11.83203125" customWidth="1"/>
    <col min="18" max="19" width="12.1640625" customWidth="1"/>
    <col min="20" max="20" width="11.83203125" customWidth="1"/>
  </cols>
  <sheetData>
    <row r="1" spans="1:23" ht="30" customHeight="1" thickBot="1">
      <c r="A1" s="1217" t="s">
        <v>2524</v>
      </c>
      <c r="B1" s="1218"/>
      <c r="C1" s="1218"/>
      <c r="D1" s="1218"/>
      <c r="E1" s="1218"/>
      <c r="F1" s="1218"/>
      <c r="G1" s="1218"/>
      <c r="H1" s="1218"/>
      <c r="I1" s="1218"/>
      <c r="J1" s="1218"/>
      <c r="K1" s="1218"/>
      <c r="L1" s="1219"/>
    </row>
    <row r="2" spans="1:23" ht="30" customHeight="1">
      <c r="A2" s="1220" t="s">
        <v>279</v>
      </c>
      <c r="B2" s="1220"/>
      <c r="C2" s="1220"/>
      <c r="D2" s="1220"/>
      <c r="E2" s="1220"/>
      <c r="F2" s="1220"/>
      <c r="G2" s="1220"/>
      <c r="H2" s="1220"/>
      <c r="I2" s="1220"/>
      <c r="J2" s="1220"/>
      <c r="K2" s="1220"/>
      <c r="L2" s="1220"/>
    </row>
    <row r="3" spans="1:23" ht="30" customHeight="1">
      <c r="A3" s="1221" t="s">
        <v>2525</v>
      </c>
      <c r="B3" s="1221"/>
      <c r="C3" s="1221"/>
      <c r="D3" s="1221"/>
      <c r="E3" s="1221"/>
      <c r="F3" s="1221"/>
      <c r="G3" s="1221"/>
      <c r="H3" s="1221"/>
      <c r="I3" s="1221"/>
      <c r="J3" s="1221"/>
      <c r="K3" s="1221"/>
      <c r="L3" s="1221"/>
    </row>
    <row r="4" spans="1:23" ht="30" customHeight="1">
      <c r="A4" s="1222" t="s">
        <v>2871</v>
      </c>
      <c r="B4" s="1222"/>
      <c r="C4" s="1222"/>
      <c r="D4" s="1222"/>
      <c r="E4" s="1222"/>
      <c r="F4" s="1222"/>
      <c r="G4" s="1222"/>
      <c r="H4" s="1222"/>
      <c r="I4" s="1222"/>
      <c r="J4" s="1222"/>
      <c r="K4" s="1222"/>
      <c r="L4" s="1222"/>
    </row>
    <row r="5" spans="1:23" ht="30" customHeight="1" thickBot="1">
      <c r="A5" s="1223" t="s">
        <v>2879</v>
      </c>
      <c r="B5" s="1223"/>
      <c r="C5" s="1223"/>
      <c r="D5" s="1223"/>
      <c r="E5" s="1223"/>
      <c r="F5" s="1223"/>
      <c r="G5" s="1223"/>
      <c r="H5" s="1223"/>
      <c r="I5" s="1223"/>
      <c r="J5" s="1223"/>
      <c r="K5" s="1223"/>
      <c r="L5" s="1223"/>
    </row>
    <row r="6" spans="1:23" s="32" customFormat="1" ht="30" customHeight="1" thickBot="1">
      <c r="A6" s="1165"/>
      <c r="B6" s="1166"/>
      <c r="C6" s="1166"/>
      <c r="D6" s="1166"/>
      <c r="E6" s="1166"/>
      <c r="F6" s="1166"/>
      <c r="G6" s="1166"/>
      <c r="H6" s="1166"/>
      <c r="I6" s="1166"/>
      <c r="J6" s="1166"/>
      <c r="K6" s="1166"/>
      <c r="L6" s="1167"/>
      <c r="M6" s="1145"/>
      <c r="N6" s="124"/>
      <c r="O6" s="33"/>
      <c r="P6" s="34"/>
      <c r="Q6" s="34"/>
      <c r="R6" s="34"/>
      <c r="S6" s="34"/>
      <c r="T6" s="34"/>
      <c r="U6" s="34"/>
    </row>
    <row r="7" spans="1:23" s="38" customFormat="1" ht="30" customHeight="1">
      <c r="A7" s="81" t="s">
        <v>280</v>
      </c>
      <c r="B7" s="82">
        <v>1311</v>
      </c>
      <c r="C7" s="1228" t="s">
        <v>291</v>
      </c>
      <c r="D7" s="1229"/>
      <c r="E7" s="74" t="s">
        <v>282</v>
      </c>
      <c r="F7" s="75" t="s">
        <v>8</v>
      </c>
      <c r="G7" s="58" t="s">
        <v>290</v>
      </c>
      <c r="H7" s="1009">
        <v>4507</v>
      </c>
      <c r="I7" s="74" t="s">
        <v>283</v>
      </c>
      <c r="J7" s="1199" t="s">
        <v>2547</v>
      </c>
      <c r="K7" s="1230"/>
      <c r="L7" s="1231"/>
      <c r="M7" s="1146"/>
      <c r="N7" s="193"/>
      <c r="O7" s="1119"/>
      <c r="P7" s="39"/>
      <c r="Q7" s="39"/>
      <c r="R7" s="39"/>
      <c r="S7" s="39"/>
      <c r="T7" s="39"/>
      <c r="U7" s="39"/>
    </row>
    <row r="8" spans="1:23" ht="30" customHeight="1">
      <c r="A8" s="77" t="s">
        <v>293</v>
      </c>
      <c r="B8" s="1232" t="s">
        <v>284</v>
      </c>
      <c r="C8" s="1232"/>
      <c r="D8" s="1232"/>
      <c r="E8" s="78" t="s">
        <v>294</v>
      </c>
      <c r="F8" s="96" t="s">
        <v>295</v>
      </c>
      <c r="G8" s="77"/>
      <c r="H8" s="77"/>
      <c r="I8" s="1233" t="s">
        <v>426</v>
      </c>
      <c r="J8" s="1234"/>
      <c r="K8" s="1206" t="s">
        <v>297</v>
      </c>
      <c r="L8" s="1207"/>
      <c r="M8" s="1147"/>
      <c r="N8" s="282"/>
      <c r="O8" s="42"/>
      <c r="P8" s="43"/>
      <c r="R8" s="34"/>
      <c r="S8" s="34"/>
      <c r="T8" s="34"/>
      <c r="U8" s="44"/>
      <c r="V8" s="44"/>
      <c r="W8" s="34"/>
    </row>
    <row r="9" spans="1:23" ht="30" customHeight="1">
      <c r="A9" s="97" t="s">
        <v>298</v>
      </c>
      <c r="B9" s="1222" t="s">
        <v>299</v>
      </c>
      <c r="C9" s="1222"/>
      <c r="D9" s="1222"/>
      <c r="E9" s="98">
        <v>46000</v>
      </c>
      <c r="F9" s="99">
        <v>701</v>
      </c>
      <c r="G9" s="100"/>
      <c r="H9" s="101"/>
      <c r="I9" s="1192" t="s">
        <v>2919</v>
      </c>
      <c r="J9" s="1193"/>
      <c r="K9" s="99">
        <v>701</v>
      </c>
      <c r="L9" s="97" t="s">
        <v>8</v>
      </c>
      <c r="M9" s="1147"/>
      <c r="N9" s="282"/>
      <c r="O9" s="42"/>
      <c r="P9" s="43"/>
      <c r="R9" s="34"/>
      <c r="S9" s="34"/>
      <c r="T9" s="34"/>
      <c r="U9" s="44"/>
      <c r="V9" s="44"/>
      <c r="W9" s="34"/>
    </row>
    <row r="10" spans="1:23" ht="30" customHeight="1" thickBot="1">
      <c r="A10" s="20"/>
      <c r="B10" s="1224"/>
      <c r="C10" s="1224"/>
      <c r="D10" s="1224"/>
      <c r="E10" s="1225"/>
      <c r="F10" s="1226"/>
      <c r="G10" s="1226"/>
      <c r="H10" s="1227"/>
      <c r="I10" s="18"/>
      <c r="J10" s="102" t="s">
        <v>289</v>
      </c>
      <c r="K10" s="103">
        <f>+K9</f>
        <v>701</v>
      </c>
      <c r="L10" s="20" t="s">
        <v>8</v>
      </c>
      <c r="M10" s="1147"/>
      <c r="N10" s="282"/>
      <c r="O10" s="42"/>
      <c r="P10" s="43"/>
      <c r="R10" s="34"/>
      <c r="S10" s="34"/>
      <c r="T10" s="34"/>
      <c r="U10" s="44"/>
      <c r="V10" s="44"/>
      <c r="W10" s="34"/>
    </row>
    <row r="11" spans="1:23" ht="30" customHeight="1" thickBot="1">
      <c r="A11" s="1165"/>
      <c r="B11" s="1166"/>
      <c r="C11" s="1166"/>
      <c r="D11" s="1166"/>
      <c r="E11" s="1166"/>
      <c r="F11" s="1166"/>
      <c r="G11" s="1166"/>
      <c r="H11" s="1166"/>
      <c r="I11" s="1166"/>
      <c r="J11" s="1166"/>
      <c r="K11" s="1166"/>
      <c r="L11" s="1167"/>
      <c r="M11" s="1147"/>
      <c r="N11" s="282"/>
      <c r="R11" s="34"/>
      <c r="S11" s="34"/>
      <c r="T11" s="34"/>
      <c r="U11" s="44"/>
      <c r="V11" s="44"/>
      <c r="W11" s="34"/>
    </row>
    <row r="12" spans="1:23" ht="30" customHeight="1">
      <c r="A12" s="81" t="s">
        <v>280</v>
      </c>
      <c r="B12" s="82">
        <v>1312</v>
      </c>
      <c r="C12" s="1228" t="s">
        <v>301</v>
      </c>
      <c r="D12" s="1229"/>
      <c r="E12" s="74" t="s">
        <v>282</v>
      </c>
      <c r="F12" s="75" t="s">
        <v>8</v>
      </c>
      <c r="G12" s="58" t="s">
        <v>290</v>
      </c>
      <c r="H12" s="104">
        <v>4148</v>
      </c>
      <c r="I12" s="74" t="s">
        <v>283</v>
      </c>
      <c r="J12" s="1199" t="s">
        <v>302</v>
      </c>
      <c r="K12" s="1230"/>
      <c r="L12" s="1231"/>
      <c r="M12" s="1146"/>
      <c r="N12" s="282"/>
      <c r="R12" s="34"/>
      <c r="S12" s="34"/>
      <c r="T12" s="34"/>
      <c r="U12" s="44"/>
      <c r="V12" s="44"/>
      <c r="W12" s="34"/>
    </row>
    <row r="13" spans="1:23" ht="30" customHeight="1">
      <c r="A13" s="77" t="s">
        <v>293</v>
      </c>
      <c r="B13" s="1232" t="s">
        <v>284</v>
      </c>
      <c r="C13" s="1232"/>
      <c r="D13" s="1232"/>
      <c r="E13" s="78"/>
      <c r="F13" s="96" t="s">
        <v>295</v>
      </c>
      <c r="G13" s="77"/>
      <c r="H13" s="77"/>
      <c r="I13" s="1233" t="s">
        <v>2872</v>
      </c>
      <c r="J13" s="1234"/>
      <c r="K13" s="1206" t="s">
        <v>297</v>
      </c>
      <c r="L13" s="1207"/>
      <c r="M13" s="1146"/>
      <c r="N13" s="282"/>
      <c r="R13" s="34"/>
      <c r="S13" s="34"/>
      <c r="T13" s="34"/>
      <c r="U13" s="44"/>
      <c r="V13" s="44"/>
      <c r="W13" s="34"/>
    </row>
    <row r="14" spans="1:23" ht="30" customHeight="1">
      <c r="A14" s="97">
        <v>13181</v>
      </c>
      <c r="B14" s="1222" t="s">
        <v>303</v>
      </c>
      <c r="C14" s="1222"/>
      <c r="D14" s="1222"/>
      <c r="E14" s="98">
        <v>26000</v>
      </c>
      <c r="F14" s="105">
        <v>377</v>
      </c>
      <c r="G14" s="100"/>
      <c r="H14" s="101"/>
      <c r="I14" s="1192">
        <f>+'2019 MILCON Inflation Table'!F15</f>
        <v>1</v>
      </c>
      <c r="J14" s="1193"/>
      <c r="K14" s="106">
        <f>+F14*I14</f>
        <v>377</v>
      </c>
      <c r="L14" s="97" t="s">
        <v>8</v>
      </c>
      <c r="M14" s="1146"/>
      <c r="N14" s="282"/>
      <c r="R14" s="34"/>
      <c r="S14" s="34"/>
      <c r="T14" s="34"/>
      <c r="U14" s="44"/>
      <c r="V14" s="44"/>
      <c r="W14" s="34"/>
    </row>
    <row r="15" spans="1:23" ht="30" customHeight="1" thickBot="1">
      <c r="A15" s="20"/>
      <c r="B15" s="1224"/>
      <c r="C15" s="1224"/>
      <c r="D15" s="1224"/>
      <c r="E15" s="1225"/>
      <c r="F15" s="1226"/>
      <c r="G15" s="1226"/>
      <c r="H15" s="1227"/>
      <c r="I15" s="18"/>
      <c r="J15" s="102" t="s">
        <v>289</v>
      </c>
      <c r="K15" s="107">
        <f>+K14</f>
        <v>377</v>
      </c>
      <c r="L15" s="20" t="s">
        <v>8</v>
      </c>
      <c r="M15" s="1146"/>
      <c r="N15" s="282"/>
      <c r="R15" s="34"/>
      <c r="S15" s="34"/>
      <c r="T15" s="34"/>
      <c r="U15" s="44"/>
      <c r="V15" s="44"/>
      <c r="W15" s="34"/>
    </row>
    <row r="16" spans="1:23" ht="30" customHeight="1" thickBot="1">
      <c r="A16" s="1165"/>
      <c r="B16" s="1166"/>
      <c r="C16" s="1166"/>
      <c r="D16" s="1166"/>
      <c r="E16" s="1166"/>
      <c r="F16" s="1166"/>
      <c r="G16" s="1166"/>
      <c r="H16" s="1166"/>
      <c r="I16" s="1166"/>
      <c r="J16" s="1166"/>
      <c r="K16" s="1166"/>
      <c r="L16" s="1167"/>
      <c r="M16" s="1146"/>
      <c r="N16" s="282"/>
      <c r="R16" s="34"/>
      <c r="S16" s="34"/>
      <c r="T16" s="34"/>
      <c r="U16" s="44"/>
      <c r="V16" s="44"/>
      <c r="W16" s="34"/>
    </row>
    <row r="17" spans="1:23" ht="30" customHeight="1">
      <c r="A17" s="108" t="s">
        <v>280</v>
      </c>
      <c r="B17" s="109">
        <v>1321</v>
      </c>
      <c r="C17" s="1239" t="s">
        <v>299</v>
      </c>
      <c r="D17" s="1240"/>
      <c r="E17" s="110" t="s">
        <v>282</v>
      </c>
      <c r="F17" s="111" t="s">
        <v>10</v>
      </c>
      <c r="G17" s="58" t="s">
        <v>290</v>
      </c>
      <c r="H17" s="112">
        <v>2</v>
      </c>
      <c r="I17" s="110" t="s">
        <v>283</v>
      </c>
      <c r="J17" s="1241" t="s">
        <v>2920</v>
      </c>
      <c r="K17" s="1241"/>
      <c r="L17" s="1242"/>
      <c r="M17" s="1146"/>
      <c r="N17" s="282"/>
      <c r="R17" s="34"/>
      <c r="S17" s="34"/>
      <c r="T17" s="34"/>
      <c r="U17" s="44"/>
      <c r="V17" s="44"/>
      <c r="W17" s="34"/>
    </row>
    <row r="18" spans="1:23" ht="30" customHeight="1">
      <c r="A18" s="113" t="s">
        <v>304</v>
      </c>
      <c r="B18" s="1243" t="s">
        <v>284</v>
      </c>
      <c r="C18" s="1244"/>
      <c r="D18" s="1245"/>
      <c r="E18" s="114" t="s">
        <v>295</v>
      </c>
      <c r="F18" s="114" t="s">
        <v>2</v>
      </c>
      <c r="G18" s="1246"/>
      <c r="H18" s="1247"/>
      <c r="I18" s="1246" t="s">
        <v>305</v>
      </c>
      <c r="J18" s="1247"/>
      <c r="K18" s="1206" t="s">
        <v>297</v>
      </c>
      <c r="L18" s="1207"/>
      <c r="M18" s="1146"/>
      <c r="N18" s="282"/>
      <c r="R18" s="34"/>
      <c r="S18" s="34"/>
      <c r="T18" s="34"/>
      <c r="U18" s="44"/>
      <c r="V18" s="44"/>
      <c r="W18" s="34"/>
    </row>
    <row r="19" spans="1:23" ht="30" customHeight="1">
      <c r="A19" s="24" t="s">
        <v>306</v>
      </c>
      <c r="B19" s="1182" t="s">
        <v>307</v>
      </c>
      <c r="C19" s="1183"/>
      <c r="D19" s="1184"/>
      <c r="E19" s="115">
        <f>(48000+70250)/2</f>
        <v>59125</v>
      </c>
      <c r="F19" s="116" t="s">
        <v>10</v>
      </c>
      <c r="G19" s="1235"/>
      <c r="H19" s="1236"/>
      <c r="I19" s="1237">
        <v>1.04</v>
      </c>
      <c r="J19" s="1238"/>
      <c r="K19" s="117">
        <f>+E19*I19</f>
        <v>61490</v>
      </c>
      <c r="L19" s="118" t="s">
        <v>10</v>
      </c>
      <c r="M19" s="1146"/>
      <c r="N19" s="282"/>
      <c r="R19" s="34"/>
      <c r="S19" s="34"/>
      <c r="T19" s="34"/>
      <c r="U19" s="44"/>
      <c r="V19" s="44"/>
      <c r="W19" s="34"/>
    </row>
    <row r="20" spans="1:23" ht="30" customHeight="1">
      <c r="A20" s="24"/>
      <c r="B20" s="119"/>
      <c r="C20" s="120"/>
      <c r="D20" s="121"/>
      <c r="E20" s="122"/>
      <c r="F20" s="1174" t="s">
        <v>308</v>
      </c>
      <c r="G20" s="1208" t="s">
        <v>309</v>
      </c>
      <c r="H20" s="1208"/>
      <c r="I20" s="1208"/>
      <c r="J20" s="1208"/>
      <c r="K20" s="123">
        <v>1.06</v>
      </c>
      <c r="L20" s="13"/>
      <c r="M20" s="1146"/>
      <c r="N20" s="282"/>
      <c r="R20" s="34"/>
      <c r="S20" s="34"/>
      <c r="T20" s="34"/>
      <c r="U20" s="44"/>
      <c r="V20" s="44"/>
      <c r="W20" s="34"/>
    </row>
    <row r="21" spans="1:23" ht="30" customHeight="1">
      <c r="A21" s="24"/>
      <c r="B21" s="119"/>
      <c r="C21" s="120"/>
      <c r="D21" s="121"/>
      <c r="E21" s="122"/>
      <c r="F21" s="1175"/>
      <c r="G21" s="1209" t="s">
        <v>310</v>
      </c>
      <c r="H21" s="1209"/>
      <c r="I21" s="1209"/>
      <c r="J21" s="1209"/>
      <c r="K21" s="123">
        <v>1.07</v>
      </c>
      <c r="L21" s="13"/>
      <c r="M21" s="1146"/>
      <c r="N21" s="282"/>
      <c r="R21" s="34"/>
      <c r="S21" s="34"/>
      <c r="T21" s="34"/>
      <c r="U21" s="44"/>
      <c r="V21" s="44"/>
      <c r="W21" s="34"/>
    </row>
    <row r="22" spans="1:23" ht="30" customHeight="1">
      <c r="A22" s="126"/>
      <c r="B22" s="1162"/>
      <c r="C22" s="1163"/>
      <c r="D22" s="1164"/>
      <c r="E22" s="127"/>
      <c r="F22" s="128"/>
      <c r="G22" s="128"/>
      <c r="H22" s="129" t="s">
        <v>311</v>
      </c>
      <c r="I22" s="130"/>
      <c r="J22" s="131" t="s">
        <v>289</v>
      </c>
      <c r="K22" s="132">
        <f>K19*K20/K21</f>
        <v>60915.327102803734</v>
      </c>
      <c r="L22" s="133" t="s">
        <v>10</v>
      </c>
      <c r="M22" s="1146"/>
      <c r="N22" s="282"/>
      <c r="R22" s="34"/>
      <c r="S22" s="34"/>
      <c r="T22" s="34"/>
      <c r="U22" s="44"/>
      <c r="V22" s="44"/>
      <c r="W22" s="34"/>
    </row>
    <row r="23" spans="1:23" ht="30" customHeight="1">
      <c r="A23" s="134"/>
      <c r="B23" s="135"/>
      <c r="C23" s="135"/>
      <c r="D23" s="135"/>
      <c r="E23" s="136"/>
      <c r="F23" s="136"/>
      <c r="G23" s="137" t="s">
        <v>312</v>
      </c>
      <c r="H23" s="136"/>
      <c r="I23" s="138"/>
      <c r="J23" s="139">
        <f>VLOOKUP(B17,'Mil Cost Premiums for RUCs'!$A$4:$R$266,18,FALSE)</f>
        <v>1.0209999999999999</v>
      </c>
      <c r="K23" s="140">
        <f>+K22*J23</f>
        <v>62194.548971962606</v>
      </c>
      <c r="L23" s="141" t="s">
        <v>10</v>
      </c>
      <c r="M23" s="1146"/>
      <c r="P23" s="34"/>
      <c r="Q23" s="34"/>
      <c r="R23" s="34"/>
      <c r="S23" s="44"/>
      <c r="T23" s="44"/>
      <c r="U23" s="34"/>
    </row>
    <row r="24" spans="1:23" ht="78.75" customHeight="1">
      <c r="A24" s="1261" t="s">
        <v>313</v>
      </c>
      <c r="B24" s="1262"/>
      <c r="C24" s="1262"/>
      <c r="D24" s="1262"/>
      <c r="E24" s="1262"/>
      <c r="F24" s="1262"/>
      <c r="G24" s="1262"/>
      <c r="H24" s="1262"/>
      <c r="I24" s="1262"/>
      <c r="J24" s="1262"/>
      <c r="K24" s="1262"/>
      <c r="L24" s="1263"/>
      <c r="M24" s="1146"/>
      <c r="P24" s="34"/>
      <c r="Q24" s="34"/>
      <c r="R24" s="34"/>
      <c r="S24" s="44"/>
      <c r="T24" s="44"/>
      <c r="U24" s="34"/>
    </row>
    <row r="25" spans="1:23" ht="30" customHeight="1">
      <c r="A25" s="1264" t="s">
        <v>314</v>
      </c>
      <c r="B25" s="1249"/>
      <c r="C25" s="1249"/>
      <c r="D25" s="1265" t="s">
        <v>315</v>
      </c>
      <c r="E25" s="1266"/>
      <c r="F25" s="1266"/>
      <c r="G25" s="1266"/>
      <c r="H25" s="1266"/>
      <c r="I25" s="1266"/>
      <c r="J25" s="1266"/>
      <c r="K25" s="1266"/>
      <c r="L25" s="1266"/>
      <c r="M25" s="1146"/>
      <c r="P25" s="34"/>
      <c r="Q25" s="34"/>
      <c r="R25" s="34"/>
      <c r="S25" s="44"/>
      <c r="T25" s="44"/>
      <c r="U25" s="34"/>
    </row>
    <row r="26" spans="1:23" ht="30" customHeight="1">
      <c r="A26" s="1248" t="s">
        <v>316</v>
      </c>
      <c r="B26" s="1249"/>
      <c r="C26" s="1249"/>
      <c r="D26" s="1265" t="s">
        <v>2881</v>
      </c>
      <c r="E26" s="1266"/>
      <c r="F26" s="1266"/>
      <c r="G26" s="1266"/>
      <c r="H26" s="1266"/>
      <c r="I26" s="1266"/>
      <c r="J26" s="1266"/>
      <c r="K26" s="1266"/>
      <c r="L26" s="1266"/>
      <c r="M26" s="1146"/>
      <c r="N26" s="34"/>
      <c r="P26" s="34"/>
      <c r="Q26" s="34"/>
      <c r="R26" s="34"/>
      <c r="S26" s="44"/>
      <c r="T26" s="44"/>
      <c r="U26" s="34"/>
    </row>
    <row r="27" spans="1:23" s="38" customFormat="1" ht="30" customHeight="1">
      <c r="A27" s="1248" t="s">
        <v>317</v>
      </c>
      <c r="B27" s="1249"/>
      <c r="C27" s="1249"/>
      <c r="D27" s="1250" t="s">
        <v>2560</v>
      </c>
      <c r="E27" s="1251"/>
      <c r="F27" s="1251"/>
      <c r="G27" s="1251"/>
      <c r="H27" s="1251"/>
      <c r="I27" s="1251"/>
      <c r="J27" s="1251"/>
      <c r="K27" s="1251"/>
      <c r="L27" s="1251"/>
      <c r="M27" s="1146"/>
      <c r="N27" s="39"/>
      <c r="O27" s="1119"/>
      <c r="P27" s="39"/>
      <c r="Q27" s="39"/>
      <c r="R27" s="39"/>
      <c r="S27" s="39"/>
      <c r="T27" s="39"/>
      <c r="U27" s="39"/>
    </row>
    <row r="28" spans="1:23" ht="30" customHeight="1">
      <c r="A28" s="1248" t="s">
        <v>318</v>
      </c>
      <c r="B28" s="1249"/>
      <c r="C28" s="1249"/>
      <c r="D28" s="1258" t="s">
        <v>319</v>
      </c>
      <c r="E28" s="1259"/>
      <c r="F28" s="1259"/>
      <c r="G28" s="1259"/>
      <c r="H28" s="1259"/>
      <c r="I28" s="1259"/>
      <c r="J28" s="1259"/>
      <c r="K28" s="1259"/>
      <c r="L28" s="1260"/>
      <c r="M28" s="1146"/>
      <c r="N28" s="282"/>
      <c r="R28" s="34"/>
      <c r="S28" s="34"/>
      <c r="T28" s="34"/>
      <c r="U28" s="44"/>
      <c r="V28" s="44"/>
      <c r="W28" s="34"/>
    </row>
    <row r="29" spans="1:23" ht="30" customHeight="1">
      <c r="A29" s="1248" t="s">
        <v>320</v>
      </c>
      <c r="B29" s="1249"/>
      <c r="C29" s="1249"/>
      <c r="D29" s="1250" t="s">
        <v>321</v>
      </c>
      <c r="E29" s="1251"/>
      <c r="F29" s="1251"/>
      <c r="G29" s="1251"/>
      <c r="H29" s="1251"/>
      <c r="I29" s="1251"/>
      <c r="J29" s="1251"/>
      <c r="K29" s="1251"/>
      <c r="L29" s="1251"/>
      <c r="M29" s="1146"/>
      <c r="N29" s="282"/>
      <c r="R29" s="34"/>
      <c r="S29" s="34"/>
      <c r="T29" s="34"/>
      <c r="U29" s="44"/>
      <c r="V29" s="44"/>
      <c r="W29" s="34"/>
    </row>
    <row r="30" spans="1:23" ht="30" customHeight="1">
      <c r="A30" s="1248" t="s">
        <v>322</v>
      </c>
      <c r="B30" s="1249"/>
      <c r="C30" s="1249"/>
      <c r="D30" s="1250" t="s">
        <v>323</v>
      </c>
      <c r="E30" s="1251"/>
      <c r="F30" s="1251"/>
      <c r="G30" s="1251"/>
      <c r="H30" s="1251"/>
      <c r="I30" s="1251"/>
      <c r="J30" s="1251"/>
      <c r="K30" s="1251"/>
      <c r="L30" s="1251"/>
      <c r="M30" s="1146"/>
      <c r="N30" s="282"/>
      <c r="R30" s="34"/>
      <c r="S30" s="34"/>
      <c r="T30" s="34"/>
      <c r="U30" s="44"/>
      <c r="V30" s="44"/>
      <c r="W30" s="34"/>
    </row>
    <row r="31" spans="1:23" ht="34.5" customHeight="1">
      <c r="A31" s="1248" t="s">
        <v>324</v>
      </c>
      <c r="B31" s="1249"/>
      <c r="C31" s="1249"/>
      <c r="D31" s="1252" t="s">
        <v>2513</v>
      </c>
      <c r="E31" s="1253"/>
      <c r="F31" s="1253"/>
      <c r="G31" s="1253"/>
      <c r="H31" s="1253"/>
      <c r="I31" s="1253"/>
      <c r="J31" s="1253"/>
      <c r="K31" s="1253"/>
      <c r="L31" s="1253"/>
      <c r="M31" s="1146"/>
      <c r="N31" s="282"/>
      <c r="R31" s="34"/>
      <c r="S31" s="34"/>
      <c r="T31" s="34"/>
      <c r="U31" s="44"/>
      <c r="V31" s="44"/>
      <c r="W31" s="34"/>
    </row>
    <row r="32" spans="1:23" ht="43.5" customHeight="1">
      <c r="A32" s="1254" t="s">
        <v>325</v>
      </c>
      <c r="B32" s="1249"/>
      <c r="C32" s="1249"/>
      <c r="D32" s="1255" t="s">
        <v>326</v>
      </c>
      <c r="E32" s="1256"/>
      <c r="F32" s="1256"/>
      <c r="G32" s="1256"/>
      <c r="H32" s="1256"/>
      <c r="I32" s="1256"/>
      <c r="J32" s="1256"/>
      <c r="K32" s="1256"/>
      <c r="L32" s="1257"/>
      <c r="M32" s="1146"/>
      <c r="N32" s="282"/>
      <c r="R32" s="34"/>
      <c r="S32" s="34"/>
      <c r="T32" s="34"/>
      <c r="U32" s="44"/>
      <c r="V32" s="44"/>
      <c r="W32" s="34"/>
    </row>
    <row r="33" spans="1:23" ht="30" customHeight="1" thickBot="1">
      <c r="A33" s="1254" t="s">
        <v>327</v>
      </c>
      <c r="B33" s="1249"/>
      <c r="C33" s="1249"/>
      <c r="D33" s="1270" t="s">
        <v>2553</v>
      </c>
      <c r="E33" s="1256"/>
      <c r="F33" s="1256"/>
      <c r="G33" s="1256"/>
      <c r="H33" s="1256"/>
      <c r="I33" s="1256"/>
      <c r="J33" s="1256"/>
      <c r="K33" s="1256"/>
      <c r="L33" s="1257"/>
      <c r="M33" s="1146"/>
      <c r="N33" s="282"/>
      <c r="R33" s="34"/>
      <c r="S33" s="34"/>
      <c r="T33" s="34"/>
      <c r="U33" s="44"/>
      <c r="V33" s="44"/>
      <c r="W33" s="34"/>
    </row>
    <row r="34" spans="1:23" ht="30" customHeight="1" thickBot="1">
      <c r="A34" s="1165"/>
      <c r="B34" s="1166"/>
      <c r="C34" s="1166"/>
      <c r="D34" s="1166"/>
      <c r="E34" s="1166"/>
      <c r="F34" s="1166"/>
      <c r="G34" s="1166"/>
      <c r="H34" s="1166"/>
      <c r="I34" s="1166"/>
      <c r="J34" s="1166"/>
      <c r="K34" s="1166"/>
      <c r="L34" s="1167"/>
      <c r="M34" s="1146"/>
      <c r="N34" s="282"/>
      <c r="R34" s="34"/>
      <c r="S34" s="34"/>
      <c r="T34" s="34"/>
      <c r="U34" s="44"/>
      <c r="V34" s="44"/>
      <c r="W34" s="34"/>
    </row>
    <row r="35" spans="1:23" ht="30" customHeight="1">
      <c r="A35" s="27" t="s">
        <v>280</v>
      </c>
      <c r="B35" s="82">
        <v>1331</v>
      </c>
      <c r="C35" s="1228" t="s">
        <v>328</v>
      </c>
      <c r="D35" s="1229"/>
      <c r="E35" s="74" t="s">
        <v>282</v>
      </c>
      <c r="F35" s="75" t="s">
        <v>8</v>
      </c>
      <c r="G35" s="58" t="s">
        <v>290</v>
      </c>
      <c r="H35" s="104">
        <v>2016</v>
      </c>
      <c r="I35" s="74" t="s">
        <v>283</v>
      </c>
      <c r="J35" s="1199" t="s">
        <v>2547</v>
      </c>
      <c r="K35" s="1230"/>
      <c r="L35" s="1231"/>
      <c r="M35" s="1146"/>
      <c r="N35" s="282"/>
      <c r="R35" s="34"/>
      <c r="S35" s="34"/>
      <c r="T35" s="34"/>
      <c r="U35" s="44"/>
      <c r="V35" s="44"/>
      <c r="W35" s="34"/>
    </row>
    <row r="36" spans="1:23" ht="30" customHeight="1">
      <c r="A36" s="35" t="s">
        <v>293</v>
      </c>
      <c r="B36" s="1232" t="s">
        <v>284</v>
      </c>
      <c r="C36" s="1232"/>
      <c r="D36" s="1232"/>
      <c r="E36" s="78" t="s">
        <v>294</v>
      </c>
      <c r="F36" s="96" t="s">
        <v>295</v>
      </c>
      <c r="G36" s="77"/>
      <c r="H36" s="77"/>
      <c r="I36" s="1233" t="s">
        <v>296</v>
      </c>
      <c r="J36" s="1234"/>
      <c r="K36" s="1206" t="s">
        <v>297</v>
      </c>
      <c r="L36" s="1207"/>
      <c r="M36" s="1146"/>
      <c r="N36" s="282"/>
      <c r="R36" s="34"/>
      <c r="S36" s="34"/>
      <c r="T36" s="34"/>
      <c r="U36" s="44"/>
      <c r="V36" s="44"/>
      <c r="W36" s="34"/>
    </row>
    <row r="37" spans="1:23" ht="30" customHeight="1">
      <c r="A37" s="48" t="s">
        <v>298</v>
      </c>
      <c r="B37" s="1222" t="s">
        <v>299</v>
      </c>
      <c r="C37" s="1222"/>
      <c r="D37" s="1222"/>
      <c r="E37" s="98">
        <v>46000</v>
      </c>
      <c r="F37" s="99">
        <v>701</v>
      </c>
      <c r="G37" s="100"/>
      <c r="H37" s="101"/>
      <c r="I37" s="1192" t="s">
        <v>2551</v>
      </c>
      <c r="J37" s="1193"/>
      <c r="K37" s="99">
        <v>701</v>
      </c>
      <c r="L37" s="97" t="s">
        <v>8</v>
      </c>
      <c r="M37" s="1146"/>
      <c r="N37" s="282"/>
      <c r="R37" s="34"/>
      <c r="S37" s="34"/>
      <c r="T37" s="34"/>
      <c r="U37" s="44"/>
      <c r="V37" s="44"/>
      <c r="W37" s="34"/>
    </row>
    <row r="38" spans="1:23" ht="30" customHeight="1" thickBot="1">
      <c r="A38" s="45"/>
      <c r="B38" s="1224"/>
      <c r="C38" s="1224"/>
      <c r="D38" s="1224"/>
      <c r="E38" s="1225"/>
      <c r="F38" s="1226"/>
      <c r="G38" s="1226"/>
      <c r="H38" s="1227"/>
      <c r="I38" s="18"/>
      <c r="J38" s="102" t="s">
        <v>289</v>
      </c>
      <c r="K38" s="103">
        <v>701</v>
      </c>
      <c r="L38" s="20" t="s">
        <v>8</v>
      </c>
      <c r="M38" s="1146"/>
      <c r="N38" s="282"/>
      <c r="R38" s="34"/>
      <c r="S38" s="34"/>
      <c r="T38" s="34"/>
      <c r="U38" s="44"/>
      <c r="V38" s="44"/>
      <c r="W38" s="34"/>
    </row>
    <row r="39" spans="1:23" ht="30" customHeight="1" thickBot="1">
      <c r="A39" s="1165"/>
      <c r="B39" s="1166"/>
      <c r="C39" s="1166"/>
      <c r="D39" s="1166"/>
      <c r="E39" s="1166"/>
      <c r="F39" s="1166"/>
      <c r="G39" s="1166"/>
      <c r="H39" s="1166"/>
      <c r="I39" s="1166"/>
      <c r="J39" s="1166"/>
      <c r="K39" s="1166"/>
      <c r="L39" s="1167"/>
      <c r="M39" s="1146"/>
      <c r="N39" s="282"/>
      <c r="R39" s="34"/>
      <c r="S39" s="34"/>
      <c r="T39" s="34"/>
      <c r="U39" s="44"/>
      <c r="V39" s="44"/>
      <c r="W39" s="34"/>
    </row>
    <row r="40" spans="1:23" ht="30" customHeight="1">
      <c r="A40" s="27" t="s">
        <v>280</v>
      </c>
      <c r="B40" s="82">
        <v>1341</v>
      </c>
      <c r="C40" s="144" t="s">
        <v>329</v>
      </c>
      <c r="D40" s="145"/>
      <c r="E40" s="74" t="s">
        <v>282</v>
      </c>
      <c r="F40" s="75" t="s">
        <v>10</v>
      </c>
      <c r="G40" s="58" t="s">
        <v>290</v>
      </c>
      <c r="H40" s="145">
        <v>3</v>
      </c>
      <c r="I40" s="74" t="s">
        <v>283</v>
      </c>
      <c r="J40" s="1199" t="s">
        <v>2526</v>
      </c>
      <c r="K40" s="1199"/>
      <c r="L40" s="1200"/>
      <c r="M40" s="1146"/>
      <c r="N40" s="282"/>
      <c r="R40" s="34"/>
      <c r="S40" s="34"/>
      <c r="T40" s="34"/>
      <c r="U40" s="44"/>
      <c r="V40" s="44"/>
      <c r="W40" s="34"/>
    </row>
    <row r="41" spans="1:23" ht="30" customHeight="1">
      <c r="A41" s="37" t="s">
        <v>304</v>
      </c>
      <c r="B41" s="1201" t="s">
        <v>330</v>
      </c>
      <c r="C41" s="1202"/>
      <c r="D41" s="1203"/>
      <c r="E41" s="150" t="s">
        <v>295</v>
      </c>
      <c r="F41" s="150" t="s">
        <v>331</v>
      </c>
      <c r="G41" s="1204" t="s">
        <v>332</v>
      </c>
      <c r="H41" s="1205"/>
      <c r="I41" s="1233" t="s">
        <v>305</v>
      </c>
      <c r="J41" s="1234"/>
      <c r="K41" s="1206" t="s">
        <v>297</v>
      </c>
      <c r="L41" s="1207"/>
      <c r="M41" s="1146"/>
      <c r="N41" s="282"/>
      <c r="R41" s="34"/>
      <c r="S41" s="34"/>
      <c r="T41" s="34"/>
      <c r="U41" s="44"/>
      <c r="V41" s="44"/>
      <c r="W41" s="34"/>
    </row>
    <row r="42" spans="1:23" ht="30" customHeight="1">
      <c r="A42" s="45" t="s">
        <v>333</v>
      </c>
      <c r="B42" s="1176" t="s">
        <v>2535</v>
      </c>
      <c r="C42" s="1177"/>
      <c r="D42" s="1178"/>
      <c r="E42" s="153">
        <v>95</v>
      </c>
      <c r="F42" s="20" t="s">
        <v>8</v>
      </c>
      <c r="G42" s="154">
        <v>100</v>
      </c>
      <c r="H42" s="155" t="s">
        <v>334</v>
      </c>
      <c r="I42" s="1268">
        <v>1.05</v>
      </c>
      <c r="J42" s="1269"/>
      <c r="K42" s="153">
        <f>+E42*G42*I42</f>
        <v>9975</v>
      </c>
      <c r="L42" s="20" t="s">
        <v>10</v>
      </c>
      <c r="M42" s="1146"/>
      <c r="N42" s="282"/>
      <c r="R42" s="34"/>
      <c r="S42" s="34"/>
      <c r="T42" s="34"/>
      <c r="U42" s="44"/>
      <c r="V42" s="44"/>
      <c r="W42" s="34"/>
    </row>
    <row r="43" spans="1:23" ht="30" customHeight="1">
      <c r="A43" s="45"/>
      <c r="B43" s="1267" t="s">
        <v>335</v>
      </c>
      <c r="C43" s="1267"/>
      <c r="D43" s="1267"/>
      <c r="E43" s="153"/>
      <c r="F43" s="1174" t="s">
        <v>308</v>
      </c>
      <c r="G43" s="1208" t="s">
        <v>309</v>
      </c>
      <c r="H43" s="1208"/>
      <c r="I43" s="1208"/>
      <c r="J43" s="1208"/>
      <c r="K43" s="156">
        <v>1.06</v>
      </c>
      <c r="L43" s="20"/>
      <c r="M43" s="1146"/>
      <c r="N43" s="282"/>
      <c r="R43" s="34"/>
      <c r="S43" s="34"/>
      <c r="T43" s="34"/>
      <c r="U43" s="44"/>
      <c r="V43" s="44"/>
      <c r="W43" s="34"/>
    </row>
    <row r="44" spans="1:23" ht="30" customHeight="1">
      <c r="A44" s="45"/>
      <c r="B44" s="157"/>
      <c r="C44" s="157"/>
      <c r="D44" s="157"/>
      <c r="E44" s="153"/>
      <c r="F44" s="1175"/>
      <c r="G44" s="1209" t="s">
        <v>310</v>
      </c>
      <c r="H44" s="1209"/>
      <c r="I44" s="1209"/>
      <c r="J44" s="1209"/>
      <c r="K44" s="123">
        <v>1.07</v>
      </c>
      <c r="L44" s="20"/>
      <c r="M44" s="1146"/>
      <c r="P44" s="34"/>
      <c r="Q44" s="34"/>
      <c r="R44" s="34"/>
      <c r="S44" s="44"/>
      <c r="T44" s="44"/>
      <c r="U44" s="34"/>
    </row>
    <row r="45" spans="1:23" ht="30" customHeight="1">
      <c r="A45" s="45"/>
      <c r="B45" s="20"/>
      <c r="C45" s="18"/>
      <c r="D45" s="18"/>
      <c r="E45" s="18"/>
      <c r="F45" s="18"/>
      <c r="G45" s="18"/>
      <c r="H45" s="18"/>
      <c r="I45" s="18"/>
      <c r="J45" s="158" t="s">
        <v>289</v>
      </c>
      <c r="K45" s="23">
        <f>+K42*K43/K44</f>
        <v>9881.7757009345787</v>
      </c>
      <c r="L45" s="20" t="s">
        <v>10</v>
      </c>
      <c r="M45" s="1146"/>
      <c r="P45" s="34"/>
      <c r="Q45" s="34"/>
      <c r="R45" s="34"/>
      <c r="S45" s="44"/>
      <c r="T45" s="44"/>
      <c r="U45" s="34"/>
    </row>
    <row r="46" spans="1:23" ht="30" customHeight="1" thickBot="1">
      <c r="A46" s="45"/>
      <c r="B46" s="20"/>
      <c r="C46" s="18"/>
      <c r="D46" s="18"/>
      <c r="E46" s="18"/>
      <c r="F46" s="18"/>
      <c r="G46" s="160" t="s">
        <v>312</v>
      </c>
      <c r="H46" s="18"/>
      <c r="I46" s="18"/>
      <c r="J46" s="139">
        <f>VLOOKUP(B40,'Mil Cost Premiums for RUCs'!$A$4:$R$266,18,FALSE)</f>
        <v>1.0209999999999999</v>
      </c>
      <c r="K46" s="23">
        <f>+K45*J46</f>
        <v>10089.292990654203</v>
      </c>
      <c r="L46" s="20" t="s">
        <v>10</v>
      </c>
      <c r="M46" s="1146"/>
      <c r="P46" s="34"/>
      <c r="Q46" s="34"/>
      <c r="R46" s="34"/>
      <c r="S46" s="44"/>
      <c r="T46" s="44"/>
      <c r="U46" s="34"/>
    </row>
    <row r="47" spans="1:23" ht="30" customHeight="1" thickBot="1">
      <c r="A47" s="1165"/>
      <c r="B47" s="1166"/>
      <c r="C47" s="1166"/>
      <c r="D47" s="1166"/>
      <c r="E47" s="1166"/>
      <c r="F47" s="1166"/>
      <c r="G47" s="1166"/>
      <c r="H47" s="1166"/>
      <c r="I47" s="1166"/>
      <c r="J47" s="1166"/>
      <c r="K47" s="1166"/>
      <c r="L47" s="1167"/>
      <c r="M47" s="1146"/>
      <c r="P47" s="34"/>
      <c r="Q47" s="34"/>
      <c r="R47" s="34"/>
      <c r="S47" s="44"/>
      <c r="T47" s="44"/>
      <c r="U47" s="34"/>
    </row>
    <row r="48" spans="1:23" s="38" customFormat="1" ht="30" customHeight="1">
      <c r="A48" s="161" t="s">
        <v>280</v>
      </c>
      <c r="B48" s="161">
        <v>1351</v>
      </c>
      <c r="C48" s="1290" t="s">
        <v>336</v>
      </c>
      <c r="D48" s="1291"/>
      <c r="E48" s="162" t="s">
        <v>282</v>
      </c>
      <c r="F48" s="163" t="s">
        <v>13</v>
      </c>
      <c r="G48" s="161"/>
      <c r="H48" s="161"/>
      <c r="I48" s="74" t="s">
        <v>283</v>
      </c>
      <c r="J48" s="1199" t="s">
        <v>2582</v>
      </c>
      <c r="K48" s="1199"/>
      <c r="L48" s="1200"/>
      <c r="M48" s="1146"/>
      <c r="N48" s="193"/>
      <c r="O48" s="1119"/>
      <c r="P48" s="39"/>
      <c r="Q48" s="39"/>
      <c r="R48" s="39"/>
      <c r="S48" s="39"/>
      <c r="T48" s="39"/>
      <c r="U48" s="39"/>
    </row>
    <row r="49" spans="1:23" ht="30" customHeight="1">
      <c r="A49" s="165" t="s">
        <v>304</v>
      </c>
      <c r="B49" s="166" t="s">
        <v>330</v>
      </c>
      <c r="C49" s="1292"/>
      <c r="D49" s="1207"/>
      <c r="E49" s="165" t="s">
        <v>295</v>
      </c>
      <c r="F49" s="165" t="s">
        <v>331</v>
      </c>
      <c r="G49" s="165" t="s">
        <v>332</v>
      </c>
      <c r="H49" s="165"/>
      <c r="I49" s="167" t="s">
        <v>305</v>
      </c>
      <c r="J49" s="167" t="s">
        <v>337</v>
      </c>
      <c r="K49" s="1206" t="s">
        <v>297</v>
      </c>
      <c r="L49" s="1207"/>
      <c r="M49" s="1146"/>
      <c r="N49" s="961"/>
      <c r="R49" s="34"/>
      <c r="S49" s="34"/>
      <c r="T49" s="34"/>
      <c r="U49" s="44"/>
      <c r="V49" s="44"/>
      <c r="W49" s="34"/>
    </row>
    <row r="50" spans="1:23" ht="30" customHeight="1">
      <c r="A50" s="10">
        <v>13510</v>
      </c>
      <c r="B50" s="1282" t="s">
        <v>338</v>
      </c>
      <c r="C50" s="1283"/>
      <c r="D50" s="1284"/>
      <c r="E50" s="168">
        <v>3</v>
      </c>
      <c r="F50" s="13" t="s">
        <v>6</v>
      </c>
      <c r="G50" s="169">
        <v>5280</v>
      </c>
      <c r="H50" s="13" t="s">
        <v>339</v>
      </c>
      <c r="I50" s="170">
        <f>+'2019 MILCON Inflation Table'!F18</f>
        <v>0.94232233454704462</v>
      </c>
      <c r="J50" s="171"/>
      <c r="K50" s="168">
        <f>+E50*I50*G50</f>
        <v>14926.385779225187</v>
      </c>
      <c r="L50" s="13" t="s">
        <v>13</v>
      </c>
      <c r="M50" s="1146"/>
      <c r="N50" s="282"/>
      <c r="R50" s="34"/>
      <c r="S50" s="34"/>
      <c r="T50" s="34"/>
      <c r="U50" s="44"/>
      <c r="V50" s="44"/>
      <c r="W50" s="34"/>
    </row>
    <row r="51" spans="1:23" ht="30" customHeight="1">
      <c r="A51" s="10">
        <v>13510</v>
      </c>
      <c r="B51" s="1282" t="s">
        <v>340</v>
      </c>
      <c r="C51" s="1283"/>
      <c r="D51" s="1284"/>
      <c r="E51" s="168">
        <v>957</v>
      </c>
      <c r="F51" s="13" t="s">
        <v>10</v>
      </c>
      <c r="G51" s="13">
        <v>6</v>
      </c>
      <c r="H51" s="13" t="s">
        <v>341</v>
      </c>
      <c r="I51" s="170">
        <f>+'2019 MILCON Inflation Table'!F18</f>
        <v>0.94232233454704462</v>
      </c>
      <c r="J51" s="171"/>
      <c r="K51" s="168">
        <f>+E51*I51*G51</f>
        <v>5410.8148449691298</v>
      </c>
      <c r="L51" s="13" t="s">
        <v>13</v>
      </c>
      <c r="M51" s="1146"/>
      <c r="N51" s="282"/>
      <c r="R51" s="34"/>
      <c r="S51" s="34"/>
      <c r="T51" s="34"/>
      <c r="U51" s="44"/>
      <c r="V51" s="44"/>
      <c r="W51" s="34"/>
    </row>
    <row r="52" spans="1:23" ht="30" customHeight="1">
      <c r="A52" s="10" t="s">
        <v>342</v>
      </c>
      <c r="B52" s="1285" t="s">
        <v>343</v>
      </c>
      <c r="C52" s="1286"/>
      <c r="D52" s="1287"/>
      <c r="E52" s="168">
        <v>6.73</v>
      </c>
      <c r="F52" s="13" t="s">
        <v>344</v>
      </c>
      <c r="G52" s="13">
        <v>5280</v>
      </c>
      <c r="H52" s="13" t="s">
        <v>339</v>
      </c>
      <c r="I52" s="171">
        <f>1.06/1.07</f>
        <v>0.99065420560747663</v>
      </c>
      <c r="J52" s="171">
        <f>1.06/1.02</f>
        <v>1.0392156862745099</v>
      </c>
      <c r="K52" s="168">
        <f>+E52*G52*I52*J52</f>
        <v>36582.785266630024</v>
      </c>
      <c r="L52" s="13" t="s">
        <v>13</v>
      </c>
      <c r="M52" s="1146"/>
      <c r="N52" s="282"/>
      <c r="R52" s="34"/>
      <c r="S52" s="34"/>
      <c r="T52" s="34"/>
      <c r="U52" s="44"/>
      <c r="V52" s="44"/>
      <c r="W52" s="34"/>
    </row>
    <row r="53" spans="1:23" ht="30" customHeight="1">
      <c r="A53" s="10" t="s">
        <v>342</v>
      </c>
      <c r="B53" s="1285" t="s">
        <v>345</v>
      </c>
      <c r="C53" s="1286"/>
      <c r="D53" s="1287"/>
      <c r="E53" s="168">
        <v>6</v>
      </c>
      <c r="F53" s="13" t="s">
        <v>344</v>
      </c>
      <c r="G53" s="13">
        <v>5280</v>
      </c>
      <c r="H53" s="13" t="s">
        <v>339</v>
      </c>
      <c r="I53" s="171">
        <f>1.06/1.07</f>
        <v>0.99065420560747663</v>
      </c>
      <c r="J53" s="171">
        <f>1.06/1.02</f>
        <v>1.0392156862745099</v>
      </c>
      <c r="K53" s="168">
        <f>+E53*G53*I53*J53</f>
        <v>32614.66739967015</v>
      </c>
      <c r="L53" s="13" t="s">
        <v>13</v>
      </c>
      <c r="M53" s="1146"/>
      <c r="N53" s="282"/>
      <c r="R53" s="34"/>
      <c r="S53" s="34"/>
      <c r="T53" s="34"/>
      <c r="U53" s="44"/>
      <c r="V53" s="44"/>
      <c r="W53" s="34"/>
    </row>
    <row r="54" spans="1:23" ht="30" customHeight="1">
      <c r="A54" s="13"/>
      <c r="B54" s="172"/>
      <c r="C54" s="173"/>
      <c r="D54" s="174"/>
      <c r="E54" s="168"/>
      <c r="F54" s="13"/>
      <c r="G54" s="13"/>
      <c r="H54" s="13"/>
      <c r="I54" s="1288" t="s">
        <v>346</v>
      </c>
      <c r="J54" s="1289"/>
      <c r="K54" s="168">
        <f>SUM(K50:K53)</f>
        <v>89534.653290494491</v>
      </c>
      <c r="L54" s="13" t="s">
        <v>13</v>
      </c>
      <c r="M54" s="1146"/>
      <c r="N54" s="282"/>
      <c r="R54" s="34"/>
      <c r="S54" s="34"/>
      <c r="T54" s="34"/>
      <c r="U54" s="44"/>
      <c r="V54" s="44"/>
      <c r="W54" s="34"/>
    </row>
    <row r="55" spans="1:23" ht="30" customHeight="1">
      <c r="A55" s="1162" t="s">
        <v>2873</v>
      </c>
      <c r="B55" s="1163"/>
      <c r="C55" s="1163"/>
      <c r="D55" s="1163"/>
      <c r="E55" s="1163"/>
      <c r="F55" s="1164"/>
      <c r="G55" s="13"/>
      <c r="H55" s="13"/>
      <c r="I55" s="1288" t="s">
        <v>289</v>
      </c>
      <c r="J55" s="1289"/>
      <c r="K55" s="168">
        <f>+K54</f>
        <v>89534.653290494491</v>
      </c>
      <c r="L55" s="13" t="s">
        <v>13</v>
      </c>
      <c r="M55" s="1146"/>
      <c r="N55" s="282"/>
      <c r="R55" s="34"/>
      <c r="S55" s="34"/>
      <c r="T55" s="34"/>
      <c r="U55" s="44"/>
      <c r="V55" s="44"/>
      <c r="W55" s="34"/>
    </row>
    <row r="56" spans="1:23" ht="30" customHeight="1">
      <c r="A56" s="1293"/>
      <c r="B56" s="1163"/>
      <c r="C56" s="1163"/>
      <c r="D56" s="1163"/>
      <c r="E56" s="1163"/>
      <c r="F56" s="1164"/>
      <c r="G56" s="176" t="s">
        <v>312</v>
      </c>
      <c r="H56" s="175"/>
      <c r="I56" s="177"/>
      <c r="J56" s="139">
        <f>VLOOKUP(B48,'Mil Cost Premiums for RUCs'!$A$4:$R$266,18,FALSE)</f>
        <v>1.0209999999999999</v>
      </c>
      <c r="K56" s="179">
        <f>+K55*J56</f>
        <v>91414.881009594872</v>
      </c>
      <c r="L56" s="47" t="s">
        <v>13</v>
      </c>
      <c r="M56" s="1146"/>
      <c r="N56" s="282"/>
      <c r="R56" s="34"/>
      <c r="S56" s="34"/>
      <c r="T56" s="34"/>
      <c r="U56" s="44"/>
      <c r="V56" s="44"/>
      <c r="W56" s="34"/>
    </row>
    <row r="57" spans="1:23" ht="78.75" customHeight="1">
      <c r="A57" s="1271" t="s">
        <v>313</v>
      </c>
      <c r="B57" s="1272"/>
      <c r="C57" s="1272"/>
      <c r="D57" s="1272"/>
      <c r="E57" s="1272"/>
      <c r="F57" s="1272"/>
      <c r="G57" s="1272"/>
      <c r="H57" s="1272"/>
      <c r="I57" s="1272"/>
      <c r="J57" s="1272"/>
      <c r="K57" s="1272"/>
      <c r="L57" s="1273"/>
      <c r="M57" s="1146"/>
      <c r="N57" s="282"/>
      <c r="R57" s="34"/>
      <c r="S57" s="34"/>
      <c r="T57" s="34"/>
      <c r="U57" s="44"/>
      <c r="V57" s="44"/>
      <c r="W57" s="34"/>
    </row>
    <row r="58" spans="1:23" ht="30" customHeight="1">
      <c r="A58" s="1248" t="s">
        <v>314</v>
      </c>
      <c r="B58" s="1274"/>
      <c r="C58" s="1274"/>
      <c r="D58" s="1254" t="s">
        <v>347</v>
      </c>
      <c r="E58" s="1275"/>
      <c r="F58" s="1275"/>
      <c r="G58" s="1275"/>
      <c r="H58" s="1275"/>
      <c r="I58" s="1275"/>
      <c r="J58" s="1275"/>
      <c r="K58" s="1275"/>
      <c r="L58" s="1275"/>
      <c r="M58" s="1146"/>
      <c r="N58" s="282"/>
      <c r="R58" s="34"/>
      <c r="S58" s="34"/>
      <c r="T58" s="34"/>
      <c r="U58" s="44"/>
      <c r="V58" s="44"/>
      <c r="W58" s="34"/>
    </row>
    <row r="59" spans="1:23" ht="30" customHeight="1">
      <c r="A59" s="1248" t="s">
        <v>316</v>
      </c>
      <c r="B59" s="1274"/>
      <c r="C59" s="1274"/>
      <c r="D59" s="1276" t="s">
        <v>348</v>
      </c>
      <c r="E59" s="1277"/>
      <c r="F59" s="1277"/>
      <c r="G59" s="1277"/>
      <c r="H59" s="1277"/>
      <c r="I59" s="1277"/>
      <c r="J59" s="1277"/>
      <c r="K59" s="1277"/>
      <c r="L59" s="1278"/>
      <c r="M59" s="1146"/>
      <c r="N59" s="282"/>
      <c r="R59" s="34"/>
      <c r="S59" s="34"/>
      <c r="T59" s="34"/>
      <c r="U59" s="44"/>
      <c r="V59" s="44"/>
      <c r="W59" s="34"/>
    </row>
    <row r="60" spans="1:23" ht="30" customHeight="1">
      <c r="A60" s="1248" t="s">
        <v>317</v>
      </c>
      <c r="B60" s="1274"/>
      <c r="C60" s="1274"/>
      <c r="D60" s="1279" t="s">
        <v>2561</v>
      </c>
      <c r="E60" s="1280"/>
      <c r="F60" s="1280"/>
      <c r="G60" s="1280"/>
      <c r="H60" s="1280"/>
      <c r="I60" s="1280"/>
      <c r="J60" s="1280"/>
      <c r="K60" s="1280"/>
      <c r="L60" s="1281"/>
      <c r="M60" s="1146"/>
      <c r="N60" s="282"/>
      <c r="R60" s="34"/>
      <c r="S60" s="34"/>
      <c r="T60" s="34"/>
      <c r="U60" s="44"/>
      <c r="V60" s="44"/>
      <c r="W60" s="34"/>
    </row>
    <row r="61" spans="1:23" ht="30" customHeight="1">
      <c r="A61" s="1248" t="s">
        <v>318</v>
      </c>
      <c r="B61" s="1274"/>
      <c r="C61" s="1274"/>
      <c r="D61" s="1298" t="s">
        <v>319</v>
      </c>
      <c r="E61" s="1298"/>
      <c r="F61" s="1298"/>
      <c r="G61" s="1298"/>
      <c r="H61" s="1298"/>
      <c r="I61" s="1298"/>
      <c r="J61" s="1298"/>
      <c r="K61" s="1298"/>
      <c r="L61" s="1298"/>
      <c r="M61" s="1146"/>
      <c r="N61" s="282"/>
      <c r="R61" s="34"/>
      <c r="S61" s="34"/>
      <c r="T61" s="34"/>
      <c r="U61" s="44"/>
      <c r="V61" s="44"/>
      <c r="W61" s="34"/>
    </row>
    <row r="62" spans="1:23" ht="30" customHeight="1">
      <c r="A62" s="1248" t="s">
        <v>320</v>
      </c>
      <c r="B62" s="1274"/>
      <c r="C62" s="1274"/>
      <c r="D62" s="1248" t="s">
        <v>349</v>
      </c>
      <c r="E62" s="1249"/>
      <c r="F62" s="1249"/>
      <c r="G62" s="1249"/>
      <c r="H62" s="1249"/>
      <c r="I62" s="1249"/>
      <c r="J62" s="1249"/>
      <c r="K62" s="1249"/>
      <c r="L62" s="1249"/>
      <c r="M62" s="1146"/>
      <c r="N62" s="282"/>
      <c r="R62" s="34"/>
      <c r="S62" s="34"/>
      <c r="T62" s="34"/>
      <c r="U62" s="44"/>
      <c r="V62" s="44"/>
      <c r="W62" s="34"/>
    </row>
    <row r="63" spans="1:23" ht="30" customHeight="1">
      <c r="A63" s="1248" t="s">
        <v>322</v>
      </c>
      <c r="B63" s="1274"/>
      <c r="C63" s="1274"/>
      <c r="D63" s="1294" t="s">
        <v>323</v>
      </c>
      <c r="E63" s="1295"/>
      <c r="F63" s="1295"/>
      <c r="G63" s="1295"/>
      <c r="H63" s="1295"/>
      <c r="I63" s="1295"/>
      <c r="J63" s="1295"/>
      <c r="K63" s="1295"/>
      <c r="L63" s="1296"/>
      <c r="M63" s="1146"/>
      <c r="N63" s="282"/>
      <c r="R63" s="34"/>
      <c r="S63" s="34"/>
      <c r="T63" s="34"/>
      <c r="U63" s="44"/>
      <c r="V63" s="44"/>
      <c r="W63" s="34"/>
    </row>
    <row r="64" spans="1:23" ht="30" customHeight="1">
      <c r="A64" s="1248" t="s">
        <v>324</v>
      </c>
      <c r="B64" s="1274"/>
      <c r="C64" s="1274"/>
      <c r="D64" s="1294" t="s">
        <v>350</v>
      </c>
      <c r="E64" s="1295"/>
      <c r="F64" s="1295"/>
      <c r="G64" s="1295"/>
      <c r="H64" s="1295"/>
      <c r="I64" s="1295"/>
      <c r="J64" s="1295"/>
      <c r="K64" s="1295"/>
      <c r="L64" s="1296"/>
      <c r="M64" s="1146"/>
      <c r="N64" s="282"/>
      <c r="R64" s="34"/>
      <c r="S64" s="34"/>
      <c r="T64" s="34"/>
      <c r="U64" s="44"/>
      <c r="V64" s="44"/>
      <c r="W64" s="34"/>
    </row>
    <row r="65" spans="1:23" ht="33.75" customHeight="1">
      <c r="A65" s="1254" t="s">
        <v>325</v>
      </c>
      <c r="B65" s="1297"/>
      <c r="C65" s="1297"/>
      <c r="D65" s="1255" t="s">
        <v>326</v>
      </c>
      <c r="E65" s="1256"/>
      <c r="F65" s="1256"/>
      <c r="G65" s="1256"/>
      <c r="H65" s="1256"/>
      <c r="I65" s="1256"/>
      <c r="J65" s="1256"/>
      <c r="K65" s="1256"/>
      <c r="L65" s="1257"/>
      <c r="M65" s="1146"/>
      <c r="P65" s="34"/>
      <c r="Q65" s="34"/>
      <c r="R65" s="34"/>
      <c r="S65" s="44"/>
      <c r="T65" s="44"/>
      <c r="U65" s="34"/>
    </row>
    <row r="66" spans="1:23" ht="30" customHeight="1" thickBot="1">
      <c r="A66" s="1254" t="s">
        <v>327</v>
      </c>
      <c r="B66" s="1275"/>
      <c r="C66" s="1275"/>
      <c r="D66" s="1270" t="s">
        <v>2552</v>
      </c>
      <c r="E66" s="1256"/>
      <c r="F66" s="1256"/>
      <c r="G66" s="1256"/>
      <c r="H66" s="1256"/>
      <c r="I66" s="1256"/>
      <c r="J66" s="1256"/>
      <c r="K66" s="1256"/>
      <c r="L66" s="1257"/>
      <c r="M66" s="1146"/>
      <c r="P66" s="34"/>
      <c r="Q66" s="34"/>
      <c r="R66" s="34"/>
      <c r="S66" s="44"/>
      <c r="T66" s="44"/>
      <c r="U66" s="34"/>
    </row>
    <row r="67" spans="1:23" ht="30" customHeight="1" thickBot="1">
      <c r="A67" s="1165"/>
      <c r="B67" s="1166"/>
      <c r="C67" s="1166"/>
      <c r="D67" s="1166"/>
      <c r="E67" s="1166"/>
      <c r="F67" s="1166"/>
      <c r="G67" s="1166"/>
      <c r="H67" s="1166"/>
      <c r="I67" s="1166"/>
      <c r="J67" s="1166"/>
      <c r="K67" s="1166"/>
      <c r="L67" s="1167"/>
      <c r="M67" s="1146"/>
      <c r="P67" s="34"/>
      <c r="Q67" s="34"/>
      <c r="R67" s="34"/>
      <c r="S67" s="44"/>
      <c r="T67" s="44"/>
      <c r="U67" s="34"/>
    </row>
    <row r="68" spans="1:23" ht="30" customHeight="1">
      <c r="A68" s="27" t="s">
        <v>280</v>
      </c>
      <c r="B68" s="28">
        <v>1371</v>
      </c>
      <c r="C68" s="1215" t="s">
        <v>351</v>
      </c>
      <c r="D68" s="1216"/>
      <c r="E68" s="74" t="s">
        <v>282</v>
      </c>
      <c r="F68" s="75" t="s">
        <v>8</v>
      </c>
      <c r="G68" s="58" t="s">
        <v>290</v>
      </c>
      <c r="H68" s="104">
        <v>229</v>
      </c>
      <c r="I68" s="74" t="s">
        <v>283</v>
      </c>
      <c r="J68" s="1199" t="s">
        <v>2547</v>
      </c>
      <c r="K68" s="1230"/>
      <c r="L68" s="1231"/>
      <c r="M68" s="1146"/>
      <c r="P68" s="34"/>
      <c r="Q68" s="34"/>
      <c r="R68" s="34"/>
      <c r="S68" s="44"/>
      <c r="T68" s="44"/>
      <c r="U68" s="34"/>
    </row>
    <row r="69" spans="1:23" ht="30" customHeight="1">
      <c r="A69" s="35" t="s">
        <v>293</v>
      </c>
      <c r="B69" s="1299" t="s">
        <v>284</v>
      </c>
      <c r="C69" s="1299"/>
      <c r="D69" s="1299"/>
      <c r="E69" s="78" t="s">
        <v>294</v>
      </c>
      <c r="F69" s="96" t="s">
        <v>295</v>
      </c>
      <c r="G69" s="77"/>
      <c r="H69" s="77"/>
      <c r="I69" s="1233" t="s">
        <v>426</v>
      </c>
      <c r="J69" s="1234"/>
      <c r="K69" s="1206" t="s">
        <v>297</v>
      </c>
      <c r="L69" s="1207"/>
      <c r="M69" s="1146"/>
      <c r="P69" s="34"/>
      <c r="Q69" s="34"/>
      <c r="R69" s="34"/>
      <c r="S69" s="44"/>
      <c r="T69" s="44"/>
      <c r="U69" s="34"/>
    </row>
    <row r="70" spans="1:23" ht="30" customHeight="1">
      <c r="A70" s="48" t="s">
        <v>298</v>
      </c>
      <c r="B70" s="1306" t="s">
        <v>299</v>
      </c>
      <c r="C70" s="1306"/>
      <c r="D70" s="1306"/>
      <c r="E70" s="98">
        <v>46000</v>
      </c>
      <c r="F70" s="99">
        <v>701</v>
      </c>
      <c r="G70" s="100"/>
      <c r="H70" s="101"/>
      <c r="I70" s="1192" t="s">
        <v>2562</v>
      </c>
      <c r="J70" s="1193"/>
      <c r="K70" s="99">
        <v>701</v>
      </c>
      <c r="L70" s="97" t="s">
        <v>8</v>
      </c>
      <c r="M70" s="1146"/>
      <c r="P70" s="34"/>
      <c r="Q70" s="34"/>
      <c r="R70" s="34"/>
      <c r="S70" s="44"/>
      <c r="T70" s="44"/>
      <c r="U70" s="34"/>
    </row>
    <row r="71" spans="1:23" ht="30" customHeight="1" thickBot="1">
      <c r="A71" s="45"/>
      <c r="B71" s="1307"/>
      <c r="C71" s="1307"/>
      <c r="D71" s="1307"/>
      <c r="E71" s="1225"/>
      <c r="F71" s="1226"/>
      <c r="G71" s="1226"/>
      <c r="H71" s="1227"/>
      <c r="I71" s="18"/>
      <c r="J71" s="102" t="s">
        <v>289</v>
      </c>
      <c r="K71" s="103">
        <v>701</v>
      </c>
      <c r="L71" s="20" t="s">
        <v>8</v>
      </c>
      <c r="M71" s="1146"/>
      <c r="P71" s="34"/>
      <c r="Q71" s="34"/>
      <c r="R71" s="34"/>
      <c r="S71" s="44"/>
      <c r="T71" s="44"/>
      <c r="U71" s="34"/>
    </row>
    <row r="72" spans="1:23" ht="30" customHeight="1" thickBot="1">
      <c r="A72" s="1165"/>
      <c r="B72" s="1166"/>
      <c r="C72" s="1166"/>
      <c r="D72" s="1166"/>
      <c r="E72" s="1166"/>
      <c r="F72" s="1166"/>
      <c r="G72" s="1166"/>
      <c r="H72" s="1166"/>
      <c r="I72" s="1166"/>
      <c r="J72" s="1166"/>
      <c r="K72" s="1166"/>
      <c r="L72" s="1167"/>
      <c r="M72" s="1146"/>
      <c r="P72" s="34"/>
      <c r="Q72" s="34"/>
      <c r="R72" s="34"/>
      <c r="S72" s="44"/>
      <c r="T72" s="44"/>
      <c r="U72" s="34"/>
    </row>
    <row r="73" spans="1:23" s="38" customFormat="1" ht="30" customHeight="1">
      <c r="A73" s="27" t="s">
        <v>280</v>
      </c>
      <c r="B73" s="28">
        <v>1381</v>
      </c>
      <c r="C73" s="1308" t="s">
        <v>352</v>
      </c>
      <c r="D73" s="1309"/>
      <c r="E73" s="30" t="s">
        <v>282</v>
      </c>
      <c r="F73" s="31" t="s">
        <v>10</v>
      </c>
      <c r="G73" s="58" t="s">
        <v>290</v>
      </c>
      <c r="H73" s="186">
        <v>1</v>
      </c>
      <c r="I73" s="30" t="s">
        <v>283</v>
      </c>
      <c r="J73" s="1310" t="s">
        <v>2527</v>
      </c>
      <c r="K73" s="1310"/>
      <c r="L73" s="1311"/>
      <c r="M73" s="1146"/>
      <c r="N73" s="193"/>
      <c r="O73" s="1119"/>
      <c r="P73" s="39"/>
      <c r="Q73" s="39"/>
      <c r="R73" s="39"/>
      <c r="S73" s="39"/>
      <c r="T73" s="39"/>
      <c r="U73" s="39"/>
    </row>
    <row r="74" spans="1:23" ht="30" customHeight="1">
      <c r="A74" s="37" t="s">
        <v>304</v>
      </c>
      <c r="B74" s="1300" t="s">
        <v>330</v>
      </c>
      <c r="C74" s="1301"/>
      <c r="D74" s="1302"/>
      <c r="E74" s="150" t="s">
        <v>295</v>
      </c>
      <c r="F74" s="150" t="s">
        <v>331</v>
      </c>
      <c r="G74" s="1303" t="s">
        <v>332</v>
      </c>
      <c r="H74" s="1304"/>
      <c r="I74" s="151" t="s">
        <v>305</v>
      </c>
      <c r="J74" s="151"/>
      <c r="K74" s="1206" t="s">
        <v>297</v>
      </c>
      <c r="L74" s="1207"/>
      <c r="M74" s="1146"/>
      <c r="N74" s="961"/>
      <c r="R74" s="34"/>
      <c r="S74" s="34"/>
      <c r="T74" s="34"/>
      <c r="U74" s="44"/>
      <c r="V74" s="44"/>
      <c r="W74" s="34"/>
    </row>
    <row r="75" spans="1:23" ht="30" customHeight="1">
      <c r="A75" s="48" t="s">
        <v>306</v>
      </c>
      <c r="B75" s="1305" t="s">
        <v>353</v>
      </c>
      <c r="C75" s="1305"/>
      <c r="D75" s="1305"/>
      <c r="E75" s="187">
        <f>+(15000+24000)/2</f>
        <v>19500</v>
      </c>
      <c r="F75" s="97" t="s">
        <v>10</v>
      </c>
      <c r="G75" s="97"/>
      <c r="H75" s="97"/>
      <c r="I75" s="188">
        <v>1.04</v>
      </c>
      <c r="J75" s="97"/>
      <c r="K75" s="187">
        <f>+E75*I75</f>
        <v>20280</v>
      </c>
      <c r="L75" s="97" t="s">
        <v>10</v>
      </c>
      <c r="M75" s="1146"/>
      <c r="N75" s="282"/>
      <c r="R75" s="34"/>
      <c r="S75" s="34"/>
      <c r="T75" s="34"/>
      <c r="U75" s="44"/>
      <c r="V75" s="44"/>
      <c r="W75" s="34"/>
    </row>
    <row r="76" spans="1:23" ht="30" customHeight="1">
      <c r="A76" s="45"/>
      <c r="B76" s="189"/>
      <c r="C76" s="189"/>
      <c r="D76" s="189"/>
      <c r="E76" s="153"/>
      <c r="F76" s="1174" t="s">
        <v>308</v>
      </c>
      <c r="G76" s="1208" t="s">
        <v>309</v>
      </c>
      <c r="H76" s="1208"/>
      <c r="I76" s="1208"/>
      <c r="J76" s="1208"/>
      <c r="K76" s="123">
        <v>1.06</v>
      </c>
      <c r="L76" s="20"/>
      <c r="M76" s="1146"/>
      <c r="N76" s="282"/>
      <c r="R76" s="34"/>
      <c r="S76" s="34"/>
      <c r="T76" s="34"/>
      <c r="U76" s="44"/>
      <c r="V76" s="44"/>
      <c r="W76" s="34"/>
    </row>
    <row r="77" spans="1:23" ht="30" customHeight="1">
      <c r="A77" s="45"/>
      <c r="B77" s="189"/>
      <c r="C77" s="189"/>
      <c r="D77" s="189"/>
      <c r="E77" s="153"/>
      <c r="F77" s="1175"/>
      <c r="G77" s="1209" t="s">
        <v>310</v>
      </c>
      <c r="H77" s="1209"/>
      <c r="I77" s="1209"/>
      <c r="J77" s="1209"/>
      <c r="K77" s="123">
        <v>1.07</v>
      </c>
      <c r="L77" s="20"/>
      <c r="M77" s="1146"/>
      <c r="N77" s="282"/>
      <c r="R77" s="34"/>
      <c r="S77" s="34"/>
      <c r="T77" s="34"/>
      <c r="U77" s="44"/>
      <c r="V77" s="44"/>
      <c r="W77" s="34"/>
    </row>
    <row r="78" spans="1:23" ht="30" customHeight="1">
      <c r="A78" s="45"/>
      <c r="B78" s="45"/>
      <c r="C78" s="46"/>
      <c r="D78" s="46"/>
      <c r="E78" s="18"/>
      <c r="F78" s="18"/>
      <c r="G78" s="18"/>
      <c r="H78" s="18"/>
      <c r="I78" s="18"/>
      <c r="J78" s="18" t="s">
        <v>289</v>
      </c>
      <c r="K78" s="23">
        <f>+K75*K76/K77</f>
        <v>20090.467289719625</v>
      </c>
      <c r="L78" s="20" t="s">
        <v>10</v>
      </c>
      <c r="M78" s="1146"/>
      <c r="N78" s="282"/>
      <c r="R78" s="34"/>
      <c r="S78" s="34"/>
      <c r="T78" s="34"/>
      <c r="U78" s="44"/>
      <c r="V78" s="44"/>
      <c r="W78" s="34"/>
    </row>
    <row r="79" spans="1:23" ht="30" customHeight="1" thickBot="1">
      <c r="A79" s="190"/>
      <c r="B79" s="190"/>
      <c r="C79" s="191"/>
      <c r="D79" s="191"/>
      <c r="E79" s="192"/>
      <c r="F79" s="192"/>
      <c r="G79" s="160" t="s">
        <v>312</v>
      </c>
      <c r="H79" s="192"/>
      <c r="I79" s="192"/>
      <c r="J79" s="139">
        <f>VLOOKUP(B73,'Mil Cost Premiums for RUCs'!$A$4:$R$266,18,FALSE)</f>
        <v>1.0209999999999999</v>
      </c>
      <c r="K79" s="23">
        <f>+K78*J79</f>
        <v>20512.367102803735</v>
      </c>
      <c r="L79" s="20" t="s">
        <v>10</v>
      </c>
      <c r="M79" s="1146"/>
      <c r="N79" s="282"/>
      <c r="R79" s="34"/>
      <c r="S79" s="34"/>
      <c r="T79" s="34"/>
      <c r="U79" s="44"/>
      <c r="V79" s="44"/>
      <c r="W79" s="34"/>
    </row>
    <row r="80" spans="1:23" ht="30" customHeight="1" thickBot="1">
      <c r="A80" s="1165"/>
      <c r="B80" s="1166"/>
      <c r="C80" s="1166"/>
      <c r="D80" s="1166"/>
      <c r="E80" s="1166"/>
      <c r="F80" s="1166"/>
      <c r="G80" s="1166"/>
      <c r="H80" s="1166"/>
      <c r="I80" s="1166"/>
      <c r="J80" s="1166"/>
      <c r="K80" s="1166"/>
      <c r="L80" s="1167"/>
      <c r="M80" s="1146"/>
      <c r="N80" s="282"/>
      <c r="O80" s="42"/>
      <c r="R80" s="34"/>
      <c r="S80" s="34"/>
      <c r="T80" s="34"/>
      <c r="U80" s="44"/>
      <c r="V80" s="44"/>
      <c r="W80" s="34"/>
    </row>
    <row r="81" spans="1:23" ht="30" customHeight="1">
      <c r="A81" s="81" t="s">
        <v>280</v>
      </c>
      <c r="B81" s="82">
        <v>1402</v>
      </c>
      <c r="C81" s="1228" t="s">
        <v>354</v>
      </c>
      <c r="D81" s="1229"/>
      <c r="E81" s="74" t="s">
        <v>282</v>
      </c>
      <c r="F81" s="75" t="s">
        <v>8</v>
      </c>
      <c r="G81" s="58" t="s">
        <v>290</v>
      </c>
      <c r="H81" s="104">
        <v>10312</v>
      </c>
      <c r="I81" s="74" t="s">
        <v>283</v>
      </c>
      <c r="J81" s="1199" t="s">
        <v>292</v>
      </c>
      <c r="K81" s="1230"/>
      <c r="L81" s="1231"/>
      <c r="M81" s="1146"/>
      <c r="N81" s="282"/>
      <c r="R81" s="34"/>
      <c r="S81" s="34"/>
      <c r="T81" s="34"/>
      <c r="U81" s="44"/>
      <c r="V81" s="44"/>
      <c r="W81" s="34"/>
    </row>
    <row r="82" spans="1:23" ht="30" customHeight="1">
      <c r="A82" s="77" t="s">
        <v>293</v>
      </c>
      <c r="B82" s="1232" t="s">
        <v>284</v>
      </c>
      <c r="C82" s="1232"/>
      <c r="D82" s="1232"/>
      <c r="E82" s="78" t="s">
        <v>294</v>
      </c>
      <c r="F82" s="96" t="s">
        <v>295</v>
      </c>
      <c r="G82" s="77"/>
      <c r="H82" s="77"/>
      <c r="I82" s="1233" t="s">
        <v>426</v>
      </c>
      <c r="J82" s="1234"/>
      <c r="K82" s="1206" t="s">
        <v>297</v>
      </c>
      <c r="L82" s="1207"/>
      <c r="M82" s="1146"/>
      <c r="N82" s="282"/>
      <c r="R82" s="34"/>
      <c r="S82" s="34"/>
      <c r="T82" s="34"/>
      <c r="U82" s="44"/>
      <c r="V82" s="44"/>
      <c r="W82" s="34"/>
    </row>
    <row r="83" spans="1:23" ht="30" customHeight="1">
      <c r="A83" s="97" t="s">
        <v>298</v>
      </c>
      <c r="B83" s="1222" t="s">
        <v>355</v>
      </c>
      <c r="C83" s="1222"/>
      <c r="D83" s="1222"/>
      <c r="E83" s="98">
        <v>49000</v>
      </c>
      <c r="F83" s="99">
        <v>242</v>
      </c>
      <c r="G83" s="100"/>
      <c r="H83" s="101"/>
      <c r="I83" s="1192">
        <f>+'2019 MILCON Inflation Table'!F14</f>
        <v>1.0543655984303466</v>
      </c>
      <c r="J83" s="1193"/>
      <c r="K83" s="99">
        <f>F83*I83</f>
        <v>255.15647482014387</v>
      </c>
      <c r="L83" s="97" t="s">
        <v>8</v>
      </c>
      <c r="M83" s="1146"/>
      <c r="N83" s="282"/>
      <c r="R83" s="34"/>
      <c r="S83" s="34"/>
      <c r="T83" s="34"/>
      <c r="U83" s="44"/>
      <c r="V83" s="44"/>
      <c r="W83" s="34"/>
    </row>
    <row r="84" spans="1:23" ht="30" customHeight="1" thickBot="1">
      <c r="A84" s="20"/>
      <c r="B84" s="1176"/>
      <c r="C84" s="1177"/>
      <c r="D84" s="1178"/>
      <c r="E84" s="1225"/>
      <c r="F84" s="1226"/>
      <c r="G84" s="1226"/>
      <c r="H84" s="1227"/>
      <c r="I84" s="18"/>
      <c r="J84" s="57" t="s">
        <v>289</v>
      </c>
      <c r="K84" s="103">
        <f>+K83</f>
        <v>255.15647482014387</v>
      </c>
      <c r="L84" s="20" t="s">
        <v>8</v>
      </c>
      <c r="M84" s="1146"/>
      <c r="N84" s="768"/>
      <c r="O84" s="60"/>
      <c r="R84" s="34"/>
      <c r="S84" s="34"/>
      <c r="T84" s="34"/>
      <c r="U84" s="44"/>
      <c r="V84" s="44"/>
      <c r="W84" s="34"/>
    </row>
    <row r="85" spans="1:23" ht="30" customHeight="1" thickBot="1">
      <c r="A85" s="1165"/>
      <c r="B85" s="1166"/>
      <c r="C85" s="1166"/>
      <c r="D85" s="1166"/>
      <c r="E85" s="1166"/>
      <c r="F85" s="1166"/>
      <c r="G85" s="1166"/>
      <c r="H85" s="1166"/>
      <c r="I85" s="1166"/>
      <c r="J85" s="1166"/>
      <c r="K85" s="1166"/>
      <c r="L85" s="1167"/>
      <c r="M85" s="1146"/>
      <c r="N85" s="282"/>
      <c r="R85" s="34"/>
      <c r="S85" s="34"/>
      <c r="T85" s="34"/>
      <c r="U85" s="44"/>
      <c r="V85" s="44"/>
      <c r="W85" s="34"/>
    </row>
    <row r="86" spans="1:23" ht="30" customHeight="1">
      <c r="A86" s="81" t="s">
        <v>280</v>
      </c>
      <c r="B86" s="82">
        <v>1403</v>
      </c>
      <c r="C86" s="1228" t="s">
        <v>356</v>
      </c>
      <c r="D86" s="1229"/>
      <c r="E86" s="74" t="s">
        <v>282</v>
      </c>
      <c r="F86" s="75" t="s">
        <v>8</v>
      </c>
      <c r="G86" s="58" t="s">
        <v>290</v>
      </c>
      <c r="H86" s="104">
        <v>5783</v>
      </c>
      <c r="I86" s="74" t="s">
        <v>283</v>
      </c>
      <c r="J86" s="1199" t="s">
        <v>2547</v>
      </c>
      <c r="K86" s="1230"/>
      <c r="L86" s="1231"/>
      <c r="M86" s="1146"/>
      <c r="N86" s="282"/>
      <c r="R86" s="34"/>
      <c r="S86" s="34"/>
      <c r="T86" s="34"/>
      <c r="U86" s="44"/>
      <c r="V86" s="44"/>
      <c r="W86" s="34"/>
    </row>
    <row r="87" spans="1:23" ht="30" customHeight="1">
      <c r="A87" s="77" t="s">
        <v>293</v>
      </c>
      <c r="B87" s="1232" t="s">
        <v>284</v>
      </c>
      <c r="C87" s="1232"/>
      <c r="D87" s="1232"/>
      <c r="E87" s="78" t="s">
        <v>294</v>
      </c>
      <c r="F87" s="96" t="s">
        <v>295</v>
      </c>
      <c r="G87" s="77"/>
      <c r="H87" s="77"/>
      <c r="I87" s="1233" t="s">
        <v>426</v>
      </c>
      <c r="J87" s="1234"/>
      <c r="K87" s="1206" t="s">
        <v>297</v>
      </c>
      <c r="L87" s="1207"/>
      <c r="M87" s="1146"/>
      <c r="P87" s="34"/>
      <c r="Q87" s="34"/>
      <c r="R87" s="34"/>
      <c r="S87" s="44"/>
      <c r="T87" s="44"/>
      <c r="U87" s="34"/>
    </row>
    <row r="88" spans="1:23" s="38" customFormat="1" ht="30" customHeight="1">
      <c r="A88" s="97" t="s">
        <v>298</v>
      </c>
      <c r="B88" s="1222" t="s">
        <v>299</v>
      </c>
      <c r="C88" s="1222"/>
      <c r="D88" s="1222"/>
      <c r="E88" s="98">
        <v>46000</v>
      </c>
      <c r="F88" s="99">
        <v>701</v>
      </c>
      <c r="G88" s="100"/>
      <c r="H88" s="101"/>
      <c r="I88" s="1192" t="s">
        <v>2551</v>
      </c>
      <c r="J88" s="1193"/>
      <c r="K88" s="99">
        <v>701</v>
      </c>
      <c r="L88" s="97" t="s">
        <v>8</v>
      </c>
      <c r="M88" s="1146"/>
      <c r="N88" s="193"/>
      <c r="O88" s="1119"/>
      <c r="P88" s="39"/>
      <c r="Q88" s="39"/>
      <c r="R88" s="39"/>
      <c r="S88" s="39"/>
      <c r="T88" s="39"/>
      <c r="U88" s="39"/>
    </row>
    <row r="89" spans="1:23" ht="30" customHeight="1" thickBot="1">
      <c r="A89" s="20"/>
      <c r="B89" s="1224"/>
      <c r="C89" s="1224"/>
      <c r="D89" s="1224"/>
      <c r="E89" s="1225"/>
      <c r="F89" s="1226"/>
      <c r="G89" s="1226"/>
      <c r="H89" s="1227"/>
      <c r="I89" s="18"/>
      <c r="J89" s="79" t="s">
        <v>289</v>
      </c>
      <c r="K89" s="103">
        <v>701</v>
      </c>
      <c r="L89" s="20" t="s">
        <v>8</v>
      </c>
      <c r="M89" s="1146"/>
      <c r="N89" s="961"/>
      <c r="R89" s="34"/>
      <c r="S89" s="34"/>
      <c r="T89" s="34"/>
      <c r="U89" s="44"/>
      <c r="V89" s="44"/>
      <c r="W89" s="34"/>
    </row>
    <row r="90" spans="1:23" ht="30" customHeight="1" thickBot="1">
      <c r="A90" s="1165"/>
      <c r="B90" s="1166"/>
      <c r="C90" s="1166"/>
      <c r="D90" s="1166"/>
      <c r="E90" s="1166"/>
      <c r="F90" s="1166"/>
      <c r="G90" s="1166"/>
      <c r="H90" s="1166"/>
      <c r="I90" s="1166"/>
      <c r="J90" s="1166"/>
      <c r="K90" s="1166"/>
      <c r="L90" s="1167"/>
      <c r="M90" s="1146"/>
      <c r="N90" s="282"/>
      <c r="R90" s="34"/>
      <c r="S90" s="34"/>
      <c r="T90" s="34"/>
      <c r="U90" s="44"/>
      <c r="V90" s="44"/>
      <c r="W90" s="34"/>
    </row>
    <row r="91" spans="1:23" ht="30" customHeight="1">
      <c r="A91" s="81" t="s">
        <v>280</v>
      </c>
      <c r="B91" s="82">
        <v>1404</v>
      </c>
      <c r="C91" s="1228" t="s">
        <v>357</v>
      </c>
      <c r="D91" s="1229"/>
      <c r="E91" s="74" t="s">
        <v>282</v>
      </c>
      <c r="F91" s="75" t="s">
        <v>8</v>
      </c>
      <c r="G91" s="58" t="s">
        <v>290</v>
      </c>
      <c r="H91" s="104">
        <v>24382</v>
      </c>
      <c r="I91" s="74" t="s">
        <v>283</v>
      </c>
      <c r="J91" s="1199" t="s">
        <v>2569</v>
      </c>
      <c r="K91" s="1230"/>
      <c r="L91" s="1231"/>
      <c r="M91" s="1146"/>
      <c r="N91" s="282"/>
      <c r="R91" s="34"/>
      <c r="S91" s="34"/>
      <c r="T91" s="34"/>
      <c r="U91" s="44"/>
      <c r="V91" s="44"/>
      <c r="W91" s="34"/>
    </row>
    <row r="92" spans="1:23" ht="30" customHeight="1">
      <c r="A92" s="77" t="s">
        <v>293</v>
      </c>
      <c r="B92" s="1232" t="s">
        <v>284</v>
      </c>
      <c r="C92" s="1232"/>
      <c r="D92" s="1232"/>
      <c r="E92" s="78" t="s">
        <v>294</v>
      </c>
      <c r="F92" s="96" t="s">
        <v>295</v>
      </c>
      <c r="G92" s="77"/>
      <c r="H92" s="77"/>
      <c r="I92" s="1233" t="s">
        <v>426</v>
      </c>
      <c r="J92" s="1234"/>
      <c r="K92" s="1206" t="s">
        <v>297</v>
      </c>
      <c r="L92" s="1207"/>
      <c r="M92" s="1146"/>
      <c r="N92" s="282"/>
      <c r="R92" s="34"/>
      <c r="S92" s="34"/>
      <c r="T92" s="34"/>
      <c r="U92" s="44"/>
      <c r="V92" s="44"/>
      <c r="W92" s="34"/>
    </row>
    <row r="93" spans="1:23" ht="30" customHeight="1">
      <c r="A93" s="97">
        <v>14162</v>
      </c>
      <c r="B93" s="1222" t="s">
        <v>357</v>
      </c>
      <c r="C93" s="1222"/>
      <c r="D93" s="1222"/>
      <c r="E93" s="98">
        <v>4100</v>
      </c>
      <c r="F93" s="105">
        <v>617</v>
      </c>
      <c r="G93" s="100"/>
      <c r="H93" s="101"/>
      <c r="I93" s="1192">
        <f>+'2019 MILCON Inflation Table'!F18</f>
        <v>0.94232233454704462</v>
      </c>
      <c r="J93" s="1193"/>
      <c r="K93" s="106">
        <f>+F93*I93</f>
        <v>581.4128804155265</v>
      </c>
      <c r="L93" s="97" t="s">
        <v>8</v>
      </c>
      <c r="M93" s="1146"/>
      <c r="N93" s="282"/>
      <c r="R93" s="34"/>
      <c r="S93" s="34"/>
      <c r="T93" s="34"/>
      <c r="U93" s="44"/>
      <c r="V93" s="44"/>
      <c r="W93" s="34"/>
    </row>
    <row r="94" spans="1:23" ht="30" customHeight="1" thickBot="1">
      <c r="A94" s="1179"/>
      <c r="B94" s="1180"/>
      <c r="C94" s="1180"/>
      <c r="D94" s="1181"/>
      <c r="E94" s="1225"/>
      <c r="F94" s="1226"/>
      <c r="G94" s="1226"/>
      <c r="H94" s="1227"/>
      <c r="I94" s="18"/>
      <c r="J94" s="79" t="s">
        <v>289</v>
      </c>
      <c r="K94" s="107">
        <f>+K93</f>
        <v>581.4128804155265</v>
      </c>
      <c r="L94" s="20" t="s">
        <v>8</v>
      </c>
      <c r="M94" s="1146"/>
      <c r="P94" s="34"/>
      <c r="Q94" s="34"/>
      <c r="R94" s="34"/>
      <c r="S94" s="44"/>
      <c r="T94" s="44"/>
      <c r="U94" s="34"/>
    </row>
    <row r="95" spans="1:23" ht="30" customHeight="1" thickBot="1">
      <c r="A95" s="1165"/>
      <c r="B95" s="1166"/>
      <c r="C95" s="1166"/>
      <c r="D95" s="1166"/>
      <c r="E95" s="1166"/>
      <c r="F95" s="1166"/>
      <c r="G95" s="1166"/>
      <c r="H95" s="1166"/>
      <c r="I95" s="1166"/>
      <c r="J95" s="1166"/>
      <c r="K95" s="1166"/>
      <c r="L95" s="1167"/>
      <c r="M95" s="1146"/>
      <c r="P95" s="34"/>
      <c r="Q95" s="34"/>
      <c r="R95" s="34"/>
      <c r="S95" s="44"/>
      <c r="T95" s="44"/>
      <c r="U95" s="34"/>
    </row>
    <row r="96" spans="1:23" ht="30" customHeight="1">
      <c r="A96" s="81" t="s">
        <v>280</v>
      </c>
      <c r="B96" s="82">
        <v>1411</v>
      </c>
      <c r="C96" s="1228" t="s">
        <v>359</v>
      </c>
      <c r="D96" s="1229"/>
      <c r="E96" s="74" t="s">
        <v>282</v>
      </c>
      <c r="F96" s="75" t="s">
        <v>8</v>
      </c>
      <c r="G96" s="58" t="s">
        <v>290</v>
      </c>
      <c r="H96" s="104">
        <v>9554</v>
      </c>
      <c r="I96" s="74" t="s">
        <v>283</v>
      </c>
      <c r="J96" s="1199" t="s">
        <v>2547</v>
      </c>
      <c r="K96" s="1230"/>
      <c r="L96" s="1231"/>
      <c r="M96" s="1146"/>
      <c r="P96" s="34"/>
      <c r="Q96" s="34"/>
      <c r="R96" s="34"/>
      <c r="S96" s="44"/>
      <c r="T96" s="44"/>
      <c r="U96" s="34"/>
    </row>
    <row r="97" spans="1:21" ht="30" customHeight="1">
      <c r="A97" s="77" t="s">
        <v>293</v>
      </c>
      <c r="B97" s="1232" t="s">
        <v>284</v>
      </c>
      <c r="C97" s="1232"/>
      <c r="D97" s="1232"/>
      <c r="E97" s="78" t="s">
        <v>294</v>
      </c>
      <c r="F97" s="96" t="s">
        <v>295</v>
      </c>
      <c r="G97" s="77"/>
      <c r="H97" s="77"/>
      <c r="I97" s="1233" t="s">
        <v>296</v>
      </c>
      <c r="J97" s="1234"/>
      <c r="K97" s="1206" t="s">
        <v>297</v>
      </c>
      <c r="L97" s="1207"/>
      <c r="M97" s="1146"/>
      <c r="P97" s="34"/>
      <c r="Q97" s="34"/>
      <c r="R97" s="34"/>
      <c r="S97" s="44"/>
      <c r="T97" s="44"/>
      <c r="U97" s="34"/>
    </row>
    <row r="98" spans="1:21" ht="30" customHeight="1">
      <c r="A98" s="97" t="s">
        <v>298</v>
      </c>
      <c r="B98" s="1222" t="s">
        <v>359</v>
      </c>
      <c r="C98" s="1222"/>
      <c r="D98" s="1222"/>
      <c r="E98" s="98">
        <v>31000</v>
      </c>
      <c r="F98" s="99">
        <v>366</v>
      </c>
      <c r="G98" s="100"/>
      <c r="H98" s="1014"/>
      <c r="I98" s="1192" t="s">
        <v>2551</v>
      </c>
      <c r="J98" s="1193"/>
      <c r="K98" s="99">
        <v>366</v>
      </c>
      <c r="L98" s="97" t="s">
        <v>8</v>
      </c>
      <c r="M98" s="1146"/>
      <c r="P98" s="34"/>
      <c r="Q98" s="34"/>
      <c r="R98" s="34"/>
      <c r="S98" s="44"/>
      <c r="T98" s="44"/>
      <c r="U98" s="34"/>
    </row>
    <row r="99" spans="1:21" ht="30" customHeight="1" thickBot="1">
      <c r="A99" s="20"/>
      <c r="B99" s="1224"/>
      <c r="C99" s="1224"/>
      <c r="D99" s="1224"/>
      <c r="E99" s="1225"/>
      <c r="F99" s="1226"/>
      <c r="G99" s="1226"/>
      <c r="H99" s="1227"/>
      <c r="I99" s="18"/>
      <c r="J99" s="79" t="s">
        <v>289</v>
      </c>
      <c r="K99" s="103">
        <f>+K98</f>
        <v>366</v>
      </c>
      <c r="L99" s="20" t="s">
        <v>8</v>
      </c>
      <c r="M99" s="1146"/>
    </row>
    <row r="100" spans="1:21" s="38" customFormat="1" ht="30" customHeight="1" thickBot="1">
      <c r="A100" s="1165"/>
      <c r="B100" s="1166"/>
      <c r="C100" s="1166"/>
      <c r="D100" s="1166"/>
      <c r="E100" s="1166"/>
      <c r="F100" s="1166"/>
      <c r="G100" s="1166"/>
      <c r="H100" s="1166"/>
      <c r="I100" s="1166"/>
      <c r="J100" s="1166"/>
      <c r="K100" s="1166"/>
      <c r="L100" s="1167"/>
      <c r="M100" s="1146"/>
      <c r="N100" s="193"/>
      <c r="O100" s="1119"/>
    </row>
    <row r="101" spans="1:21" ht="30" customHeight="1">
      <c r="A101" s="81" t="s">
        <v>280</v>
      </c>
      <c r="B101" s="82">
        <v>1412</v>
      </c>
      <c r="C101" s="1228" t="s">
        <v>360</v>
      </c>
      <c r="D101" s="1229"/>
      <c r="E101" s="74" t="s">
        <v>282</v>
      </c>
      <c r="F101" s="75" t="s">
        <v>8</v>
      </c>
      <c r="G101" s="58" t="s">
        <v>290</v>
      </c>
      <c r="H101" s="104">
        <v>10852</v>
      </c>
      <c r="I101" s="74" t="s">
        <v>283</v>
      </c>
      <c r="J101" s="1310" t="s">
        <v>2570</v>
      </c>
      <c r="K101" s="1310"/>
      <c r="L101" s="1311"/>
      <c r="M101" s="1146"/>
    </row>
    <row r="102" spans="1:21" ht="30" customHeight="1">
      <c r="A102" s="77" t="s">
        <v>293</v>
      </c>
      <c r="B102" s="1232" t="s">
        <v>284</v>
      </c>
      <c r="C102" s="1232"/>
      <c r="D102" s="1232"/>
      <c r="E102" s="78" t="s">
        <v>294</v>
      </c>
      <c r="F102" s="96" t="s">
        <v>295</v>
      </c>
      <c r="G102" s="77"/>
      <c r="H102" s="77"/>
      <c r="I102" s="1233" t="s">
        <v>426</v>
      </c>
      <c r="J102" s="1234"/>
      <c r="K102" s="1206" t="s">
        <v>297</v>
      </c>
      <c r="L102" s="1207"/>
      <c r="M102" s="1146"/>
    </row>
    <row r="103" spans="1:21" ht="30" customHeight="1">
      <c r="A103" s="97" t="s">
        <v>298</v>
      </c>
      <c r="B103" s="1222" t="s">
        <v>355</v>
      </c>
      <c r="C103" s="1222"/>
      <c r="D103" s="1222"/>
      <c r="E103" s="98">
        <v>49000</v>
      </c>
      <c r="F103" s="99">
        <v>242</v>
      </c>
      <c r="G103" s="100"/>
      <c r="H103" s="101"/>
      <c r="I103" s="1192">
        <f>+'2019 MILCON Inflation Table'!F14</f>
        <v>1.0543655984303466</v>
      </c>
      <c r="J103" s="1193"/>
      <c r="K103" s="99">
        <f>+F103*I103</f>
        <v>255.15647482014387</v>
      </c>
      <c r="L103" s="97" t="s">
        <v>8</v>
      </c>
      <c r="M103" s="1146"/>
    </row>
    <row r="104" spans="1:21" ht="30" customHeight="1" thickBot="1">
      <c r="A104" s="20"/>
      <c r="B104" s="1224"/>
      <c r="C104" s="1224"/>
      <c r="D104" s="1224"/>
      <c r="E104" s="1225"/>
      <c r="F104" s="1226"/>
      <c r="G104" s="1226"/>
      <c r="H104" s="1227"/>
      <c r="I104" s="18"/>
      <c r="J104" s="79" t="s">
        <v>289</v>
      </c>
      <c r="K104" s="103">
        <f>+K103</f>
        <v>255.15647482014387</v>
      </c>
      <c r="L104" s="20" t="s">
        <v>8</v>
      </c>
      <c r="M104" s="1146"/>
    </row>
    <row r="105" spans="1:21" ht="30" customHeight="1" thickBot="1">
      <c r="A105" s="1165"/>
      <c r="B105" s="1166"/>
      <c r="C105" s="1166"/>
      <c r="D105" s="1166"/>
      <c r="E105" s="1166"/>
      <c r="F105" s="1166"/>
      <c r="G105" s="1166"/>
      <c r="H105" s="1166"/>
      <c r="I105" s="1166"/>
      <c r="J105" s="1166"/>
      <c r="K105" s="1166"/>
      <c r="L105" s="1167"/>
      <c r="M105" s="1146"/>
    </row>
    <row r="106" spans="1:21" ht="30" customHeight="1">
      <c r="A106" s="81" t="s">
        <v>280</v>
      </c>
      <c r="B106" s="82">
        <v>1413</v>
      </c>
      <c r="C106" s="1228" t="s">
        <v>361</v>
      </c>
      <c r="D106" s="1229"/>
      <c r="E106" s="74" t="s">
        <v>282</v>
      </c>
      <c r="F106" s="75" t="s">
        <v>8</v>
      </c>
      <c r="G106" s="58" t="s">
        <v>290</v>
      </c>
      <c r="H106" s="104">
        <v>3865</v>
      </c>
      <c r="I106" s="74" t="s">
        <v>283</v>
      </c>
      <c r="J106" s="1199" t="s">
        <v>302</v>
      </c>
      <c r="K106" s="1230"/>
      <c r="L106" s="1231"/>
      <c r="M106" s="1146"/>
    </row>
    <row r="107" spans="1:21" ht="30" customHeight="1">
      <c r="A107" s="77" t="s">
        <v>293</v>
      </c>
      <c r="B107" s="1232" t="s">
        <v>284</v>
      </c>
      <c r="C107" s="1232"/>
      <c r="D107" s="1232"/>
      <c r="E107" s="78" t="s">
        <v>294</v>
      </c>
      <c r="F107" s="96" t="s">
        <v>295</v>
      </c>
      <c r="G107" s="77"/>
      <c r="H107" s="77"/>
      <c r="I107" s="1233" t="s">
        <v>426</v>
      </c>
      <c r="J107" s="1234"/>
      <c r="K107" s="1312" t="s">
        <v>297</v>
      </c>
      <c r="L107" s="1313"/>
      <c r="M107" s="1146"/>
    </row>
    <row r="108" spans="1:21" ht="30" customHeight="1">
      <c r="A108" s="97">
        <v>13310</v>
      </c>
      <c r="B108" s="1222" t="s">
        <v>362</v>
      </c>
      <c r="C108" s="1222"/>
      <c r="D108" s="1222"/>
      <c r="E108" s="98">
        <v>7600</v>
      </c>
      <c r="F108" s="105">
        <v>771</v>
      </c>
      <c r="G108" s="100"/>
      <c r="H108" s="101"/>
      <c r="I108" s="1192">
        <f>+'2019 MILCON Inflation Table'!F15</f>
        <v>1</v>
      </c>
      <c r="J108" s="1193"/>
      <c r="K108" s="106">
        <f>+F108*I108</f>
        <v>771</v>
      </c>
      <c r="L108" s="97" t="s">
        <v>8</v>
      </c>
      <c r="M108" s="1146"/>
    </row>
    <row r="109" spans="1:21" ht="30" customHeight="1" thickBot="1">
      <c r="A109" s="20"/>
      <c r="B109" s="1224"/>
      <c r="C109" s="1224"/>
      <c r="D109" s="1224"/>
      <c r="E109" s="1225"/>
      <c r="F109" s="1226"/>
      <c r="G109" s="1226"/>
      <c r="H109" s="1227"/>
      <c r="I109" s="18"/>
      <c r="J109" s="79" t="s">
        <v>289</v>
      </c>
      <c r="K109" s="107">
        <f>+K108</f>
        <v>771</v>
      </c>
      <c r="L109" s="20" t="s">
        <v>8</v>
      </c>
      <c r="M109" s="1146"/>
    </row>
    <row r="110" spans="1:21" ht="30" customHeight="1" thickBot="1">
      <c r="A110" s="1165"/>
      <c r="B110" s="1166"/>
      <c r="C110" s="1166"/>
      <c r="D110" s="1166"/>
      <c r="E110" s="1166"/>
      <c r="F110" s="1166"/>
      <c r="G110" s="1166"/>
      <c r="H110" s="1166"/>
      <c r="I110" s="1166"/>
      <c r="J110" s="1166"/>
      <c r="K110" s="1166"/>
      <c r="L110" s="1167"/>
      <c r="M110" s="1146"/>
    </row>
    <row r="111" spans="1:21" ht="30" customHeight="1">
      <c r="A111" s="27" t="s">
        <v>280</v>
      </c>
      <c r="B111" s="28">
        <v>1421</v>
      </c>
      <c r="C111" s="1215" t="s">
        <v>363</v>
      </c>
      <c r="D111" s="1216"/>
      <c r="E111" s="74" t="s">
        <v>282</v>
      </c>
      <c r="F111" s="75" t="s">
        <v>8</v>
      </c>
      <c r="G111" s="58" t="s">
        <v>290</v>
      </c>
      <c r="H111" s="104">
        <v>582</v>
      </c>
      <c r="I111" s="74" t="s">
        <v>283</v>
      </c>
      <c r="J111" s="1199" t="s">
        <v>2569</v>
      </c>
      <c r="K111" s="1199"/>
      <c r="L111" s="1200"/>
      <c r="M111" s="1146"/>
    </row>
    <row r="112" spans="1:21" ht="30" customHeight="1">
      <c r="A112" s="35" t="s">
        <v>293</v>
      </c>
      <c r="B112" s="1299" t="s">
        <v>284</v>
      </c>
      <c r="C112" s="1299"/>
      <c r="D112" s="1299"/>
      <c r="E112" s="78" t="s">
        <v>294</v>
      </c>
      <c r="F112" s="96" t="s">
        <v>295</v>
      </c>
      <c r="G112" s="77"/>
      <c r="H112" s="77"/>
      <c r="I112" s="1233" t="s">
        <v>426</v>
      </c>
      <c r="J112" s="1234"/>
      <c r="K112" s="1206" t="s">
        <v>297</v>
      </c>
      <c r="L112" s="1207"/>
      <c r="M112" s="1146"/>
    </row>
    <row r="113" spans="1:21" ht="30" customHeight="1">
      <c r="A113" s="45">
        <v>44220</v>
      </c>
      <c r="B113" s="1188" t="s">
        <v>364</v>
      </c>
      <c r="C113" s="1189"/>
      <c r="D113" s="1190"/>
      <c r="E113" s="98">
        <v>4200</v>
      </c>
      <c r="F113" s="105">
        <v>158</v>
      </c>
      <c r="G113" s="100"/>
      <c r="H113" s="101"/>
      <c r="I113" s="1192">
        <f>+'2019 MILCON Inflation Table'!F18</f>
        <v>0.94232233454704462</v>
      </c>
      <c r="J113" s="1193"/>
      <c r="K113" s="99">
        <f>+F113*I113</f>
        <v>148.88692885843304</v>
      </c>
      <c r="L113" s="97" t="s">
        <v>8</v>
      </c>
      <c r="M113" s="1146"/>
      <c r="P113" s="34"/>
      <c r="Q113" s="34"/>
      <c r="R113" s="34"/>
      <c r="S113" s="44"/>
      <c r="T113" s="44"/>
      <c r="U113" s="34"/>
    </row>
    <row r="114" spans="1:21" ht="30" customHeight="1">
      <c r="A114" s="45">
        <v>21470</v>
      </c>
      <c r="B114" s="1188" t="s">
        <v>365</v>
      </c>
      <c r="C114" s="1189"/>
      <c r="D114" s="1190"/>
      <c r="E114" s="98">
        <v>180</v>
      </c>
      <c r="F114" s="105">
        <v>249</v>
      </c>
      <c r="G114" s="100"/>
      <c r="H114" s="101"/>
      <c r="I114" s="1192">
        <f>+'2019 MILCON Inflation Table'!F18</f>
        <v>0.94232233454704462</v>
      </c>
      <c r="J114" s="1193"/>
      <c r="K114" s="106">
        <f>+F114*I114</f>
        <v>234.63826130221412</v>
      </c>
      <c r="L114" s="97" t="s">
        <v>8</v>
      </c>
      <c r="M114" s="1146"/>
      <c r="N114" s="270"/>
    </row>
    <row r="115" spans="1:21" s="38" customFormat="1" ht="30" customHeight="1">
      <c r="A115" s="45"/>
      <c r="B115" s="195"/>
      <c r="C115" s="196"/>
      <c r="D115" s="197" t="s">
        <v>366</v>
      </c>
      <c r="E115" s="198">
        <f>AVERAGE(E113:E114)</f>
        <v>2190</v>
      </c>
      <c r="F115" s="199"/>
      <c r="G115" s="200"/>
      <c r="H115" s="201"/>
      <c r="I115" s="1192" t="s">
        <v>367</v>
      </c>
      <c r="J115" s="1193"/>
      <c r="K115" s="202">
        <f>((E113/(E113+E114))*K113)+(E114/(E113+E114))*K114</f>
        <v>152.41095621913635</v>
      </c>
      <c r="L115" s="97" t="s">
        <v>8</v>
      </c>
      <c r="M115" s="1146"/>
      <c r="N115" s="193"/>
      <c r="O115" s="1119"/>
    </row>
    <row r="116" spans="1:21" ht="30" customHeight="1" thickBot="1">
      <c r="A116" s="45"/>
      <c r="B116" s="1307"/>
      <c r="C116" s="1307"/>
      <c r="D116" s="1307"/>
      <c r="E116" s="203"/>
      <c r="F116" s="204"/>
      <c r="G116" s="204"/>
      <c r="H116" s="205"/>
      <c r="I116" s="46"/>
      <c r="J116" s="37" t="s">
        <v>289</v>
      </c>
      <c r="K116" s="67">
        <f>+K115</f>
        <v>152.41095621913635</v>
      </c>
      <c r="L116" s="45" t="s">
        <v>8</v>
      </c>
      <c r="M116" s="1146"/>
    </row>
    <row r="117" spans="1:21" ht="30" customHeight="1" thickBot="1">
      <c r="A117" s="1165"/>
      <c r="B117" s="1166"/>
      <c r="C117" s="1166"/>
      <c r="D117" s="1166"/>
      <c r="E117" s="1166"/>
      <c r="F117" s="1166"/>
      <c r="G117" s="1166"/>
      <c r="H117" s="1166"/>
      <c r="I117" s="1166"/>
      <c r="J117" s="1166"/>
      <c r="K117" s="1166"/>
      <c r="L117" s="1167"/>
      <c r="M117" s="1146"/>
    </row>
    <row r="118" spans="1:21" ht="30" customHeight="1">
      <c r="A118" s="27" t="s">
        <v>280</v>
      </c>
      <c r="B118" s="82">
        <v>1422</v>
      </c>
      <c r="C118" s="1197" t="s">
        <v>368</v>
      </c>
      <c r="D118" s="1198"/>
      <c r="E118" s="74" t="s">
        <v>282</v>
      </c>
      <c r="F118" s="75" t="s">
        <v>10</v>
      </c>
      <c r="G118" s="181" t="s">
        <v>281</v>
      </c>
      <c r="H118" s="145">
        <v>1</v>
      </c>
      <c r="I118" s="74" t="s">
        <v>283</v>
      </c>
      <c r="J118" s="1310" t="s">
        <v>2527</v>
      </c>
      <c r="K118" s="1310"/>
      <c r="L118" s="1311"/>
      <c r="M118" s="1146"/>
    </row>
    <row r="119" spans="1:21" ht="30" customHeight="1">
      <c r="A119" s="37" t="s">
        <v>304</v>
      </c>
      <c r="B119" s="1201" t="s">
        <v>330</v>
      </c>
      <c r="C119" s="1202"/>
      <c r="D119" s="1203"/>
      <c r="E119" s="150" t="s">
        <v>295</v>
      </c>
      <c r="F119" s="150" t="s">
        <v>331</v>
      </c>
      <c r="G119" s="1204" t="s">
        <v>332</v>
      </c>
      <c r="H119" s="1205"/>
      <c r="I119" s="77" t="s">
        <v>305</v>
      </c>
      <c r="J119" s="77"/>
      <c r="K119" s="1206" t="s">
        <v>297</v>
      </c>
      <c r="L119" s="1207"/>
      <c r="M119" s="1146"/>
    </row>
    <row r="120" spans="1:21" ht="30" customHeight="1">
      <c r="A120" s="45" t="s">
        <v>369</v>
      </c>
      <c r="B120" s="1179" t="s">
        <v>370</v>
      </c>
      <c r="C120" s="1180"/>
      <c r="D120" s="1181"/>
      <c r="E120" s="153">
        <v>76500</v>
      </c>
      <c r="F120" s="20" t="s">
        <v>10</v>
      </c>
      <c r="G120" s="206"/>
      <c r="H120" s="20"/>
      <c r="I120" s="20">
        <v>1.08</v>
      </c>
      <c r="J120" s="20"/>
      <c r="K120" s="153">
        <f>+E120*I120</f>
        <v>82620</v>
      </c>
      <c r="L120" s="20" t="s">
        <v>10</v>
      </c>
      <c r="M120" s="1146"/>
    </row>
    <row r="121" spans="1:21" ht="30" customHeight="1">
      <c r="A121" s="45" t="s">
        <v>369</v>
      </c>
      <c r="B121" s="1179" t="s">
        <v>371</v>
      </c>
      <c r="C121" s="1180"/>
      <c r="D121" s="1181"/>
      <c r="E121" s="153">
        <v>115000</v>
      </c>
      <c r="F121" s="20" t="s">
        <v>10</v>
      </c>
      <c r="G121" s="206"/>
      <c r="H121" s="20"/>
      <c r="I121" s="20">
        <v>1.08</v>
      </c>
      <c r="J121" s="20"/>
      <c r="K121" s="153">
        <f>+E121*I121</f>
        <v>124200.00000000001</v>
      </c>
      <c r="L121" s="20" t="s">
        <v>10</v>
      </c>
      <c r="M121" s="1146"/>
    </row>
    <row r="122" spans="1:21" ht="30" customHeight="1">
      <c r="A122" s="45"/>
      <c r="B122" s="207"/>
      <c r="C122" s="208"/>
      <c r="D122" s="155"/>
      <c r="E122" s="153"/>
      <c r="F122" s="20"/>
      <c r="G122" s="206"/>
      <c r="H122" s="20"/>
      <c r="I122" s="20"/>
      <c r="J122" s="20" t="s">
        <v>311</v>
      </c>
      <c r="K122" s="153">
        <f>AVERAGE(K120:K121)</f>
        <v>103410</v>
      </c>
      <c r="L122" s="20" t="s">
        <v>10</v>
      </c>
      <c r="M122" s="1146"/>
    </row>
    <row r="123" spans="1:21" ht="30" customHeight="1">
      <c r="A123" s="45"/>
      <c r="B123" s="207"/>
      <c r="C123" s="208"/>
      <c r="D123" s="155"/>
      <c r="E123" s="153"/>
      <c r="F123" s="1174" t="s">
        <v>308</v>
      </c>
      <c r="G123" s="1208" t="s">
        <v>309</v>
      </c>
      <c r="H123" s="1208"/>
      <c r="I123" s="1208"/>
      <c r="J123" s="1208"/>
      <c r="K123" s="123">
        <v>1.06</v>
      </c>
      <c r="L123" s="20"/>
      <c r="M123" s="1146"/>
    </row>
    <row r="124" spans="1:21" ht="30" customHeight="1">
      <c r="A124" s="45"/>
      <c r="B124" s="1224"/>
      <c r="C124" s="1224"/>
      <c r="D124" s="1224"/>
      <c r="E124" s="153"/>
      <c r="F124" s="1175"/>
      <c r="G124" s="1209" t="s">
        <v>310</v>
      </c>
      <c r="H124" s="1209"/>
      <c r="I124" s="1209"/>
      <c r="J124" s="1209"/>
      <c r="K124" s="123">
        <v>1.07</v>
      </c>
      <c r="L124" s="13"/>
      <c r="M124" s="1146"/>
      <c r="P124" s="34"/>
      <c r="Q124" s="34"/>
      <c r="R124" s="34"/>
      <c r="S124" s="44"/>
      <c r="T124" s="44"/>
      <c r="U124" s="34"/>
    </row>
    <row r="125" spans="1:21" ht="30" customHeight="1">
      <c r="A125" s="45"/>
      <c r="B125" s="20"/>
      <c r="C125" s="18"/>
      <c r="D125" s="18"/>
      <c r="E125" s="18"/>
      <c r="F125" s="18"/>
      <c r="G125" s="18"/>
      <c r="H125" s="18"/>
      <c r="I125" s="18"/>
      <c r="J125" s="18" t="s">
        <v>289</v>
      </c>
      <c r="K125" s="23">
        <f>+K122*K123/K124</f>
        <v>102443.55140186916</v>
      </c>
      <c r="L125" s="20" t="s">
        <v>10</v>
      </c>
      <c r="M125" s="1146"/>
      <c r="P125" s="34"/>
      <c r="Q125" s="34"/>
      <c r="R125" s="34"/>
      <c r="S125" s="44"/>
      <c r="T125" s="44"/>
      <c r="U125" s="34"/>
    </row>
    <row r="126" spans="1:21" s="38" customFormat="1" ht="30" customHeight="1" thickBot="1">
      <c r="A126" s="45"/>
      <c r="B126" s="20"/>
      <c r="C126" s="18"/>
      <c r="D126" s="18"/>
      <c r="E126" s="18"/>
      <c r="F126" s="18"/>
      <c r="G126" s="160" t="s">
        <v>312</v>
      </c>
      <c r="H126" s="18"/>
      <c r="I126" s="18"/>
      <c r="J126" s="139">
        <f>VLOOKUP(B118,'Mil Cost Premiums for RUCs'!$A$4:$R$266,18,FALSE)</f>
        <v>1.0209999999999999</v>
      </c>
      <c r="K126" s="23">
        <f>+K125*J126</f>
        <v>104594.86598130841</v>
      </c>
      <c r="L126" s="20" t="s">
        <v>10</v>
      </c>
      <c r="M126" s="1146"/>
      <c r="N126" s="193"/>
      <c r="O126" s="1119"/>
      <c r="P126" s="39"/>
      <c r="Q126" s="39"/>
      <c r="R126" s="39"/>
      <c r="S126" s="84"/>
      <c r="T126" s="84"/>
      <c r="U126" s="39"/>
    </row>
    <row r="127" spans="1:21" ht="30" customHeight="1" thickBot="1">
      <c r="A127" s="1165"/>
      <c r="B127" s="1166"/>
      <c r="C127" s="1166"/>
      <c r="D127" s="1166"/>
      <c r="E127" s="1166"/>
      <c r="F127" s="1166"/>
      <c r="G127" s="1166"/>
      <c r="H127" s="1166"/>
      <c r="I127" s="1166"/>
      <c r="J127" s="1166"/>
      <c r="K127" s="1166"/>
      <c r="L127" s="1167"/>
      <c r="M127" s="1146"/>
      <c r="O127" s="85"/>
      <c r="P127" s="34"/>
      <c r="Q127" s="34"/>
      <c r="R127" s="44"/>
      <c r="S127" s="44"/>
      <c r="T127" s="34"/>
    </row>
    <row r="128" spans="1:21" ht="30" customHeight="1">
      <c r="A128" s="209" t="s">
        <v>280</v>
      </c>
      <c r="B128" s="209">
        <v>1431</v>
      </c>
      <c r="C128" s="1320" t="s">
        <v>372</v>
      </c>
      <c r="D128" s="1321"/>
      <c r="E128" s="97" t="s">
        <v>282</v>
      </c>
      <c r="F128" s="185" t="s">
        <v>8</v>
      </c>
      <c r="G128" s="58" t="s">
        <v>290</v>
      </c>
      <c r="H128" s="1010">
        <v>12414</v>
      </c>
      <c r="I128" s="74" t="s">
        <v>283</v>
      </c>
      <c r="J128" s="1199" t="s">
        <v>2572</v>
      </c>
      <c r="K128" s="1230"/>
      <c r="L128" s="1231"/>
      <c r="M128" s="1146"/>
      <c r="O128" s="85"/>
      <c r="P128" s="34"/>
      <c r="Q128" s="34"/>
      <c r="R128" s="44"/>
      <c r="S128" s="44"/>
      <c r="T128" s="34"/>
    </row>
    <row r="129" spans="1:21" ht="30" customHeight="1">
      <c r="A129" s="35" t="s">
        <v>293</v>
      </c>
      <c r="B129" s="1299" t="s">
        <v>284</v>
      </c>
      <c r="C129" s="1299"/>
      <c r="D129" s="1299"/>
      <c r="E129" s="78" t="s">
        <v>294</v>
      </c>
      <c r="F129" s="96" t="s">
        <v>295</v>
      </c>
      <c r="G129" s="77"/>
      <c r="H129" s="77"/>
      <c r="I129" s="1233" t="s">
        <v>426</v>
      </c>
      <c r="J129" s="1234"/>
      <c r="K129" s="1206" t="s">
        <v>297</v>
      </c>
      <c r="L129" s="1207"/>
      <c r="M129" s="1146"/>
      <c r="O129" s="85"/>
      <c r="P129" s="34"/>
      <c r="Q129" s="34"/>
      <c r="R129" s="44"/>
      <c r="S129" s="44"/>
      <c r="T129" s="34"/>
    </row>
    <row r="130" spans="1:21" ht="30" customHeight="1">
      <c r="A130" s="45" t="s">
        <v>298</v>
      </c>
      <c r="B130" s="1188" t="s">
        <v>373</v>
      </c>
      <c r="C130" s="1189"/>
      <c r="D130" s="1190"/>
      <c r="E130" s="210">
        <v>45000</v>
      </c>
      <c r="F130" s="211">
        <v>284.26</v>
      </c>
      <c r="G130" s="154"/>
      <c r="H130" s="155"/>
      <c r="I130" s="1192" t="s">
        <v>2571</v>
      </c>
      <c r="J130" s="1193"/>
      <c r="K130" s="212">
        <v>284.26</v>
      </c>
      <c r="L130" s="20" t="s">
        <v>8</v>
      </c>
      <c r="M130" s="1146"/>
      <c r="O130" s="85"/>
      <c r="P130" s="34"/>
      <c r="Q130" s="34"/>
      <c r="R130" s="44"/>
      <c r="S130" s="44"/>
      <c r="T130" s="34"/>
    </row>
    <row r="131" spans="1:21" ht="30" customHeight="1">
      <c r="A131" s="45"/>
      <c r="B131" s="189"/>
      <c r="C131" s="189"/>
      <c r="D131" s="189"/>
      <c r="E131" s="213"/>
      <c r="F131" s="45"/>
      <c r="G131" s="45"/>
      <c r="H131" s="45"/>
      <c r="I131" s="45"/>
      <c r="J131" s="37" t="s">
        <v>289</v>
      </c>
      <c r="K131" s="213">
        <f>SUM(K130:K130)</f>
        <v>284.26</v>
      </c>
      <c r="L131" s="45" t="s">
        <v>8</v>
      </c>
      <c r="M131" s="1146"/>
      <c r="O131" s="85"/>
      <c r="P131" s="34"/>
      <c r="Q131" s="34"/>
      <c r="R131" s="44"/>
      <c r="S131" s="44"/>
      <c r="T131" s="34"/>
    </row>
    <row r="132" spans="1:21" ht="75" customHeight="1">
      <c r="A132" s="1188" t="s">
        <v>2584</v>
      </c>
      <c r="B132" s="1189"/>
      <c r="C132" s="1189"/>
      <c r="D132" s="1189"/>
      <c r="E132" s="1189"/>
      <c r="F132" s="1189"/>
      <c r="G132" s="1189"/>
      <c r="H132" s="1189"/>
      <c r="I132" s="1189"/>
      <c r="J132" s="1189"/>
      <c r="K132" s="1189"/>
      <c r="L132" s="1190"/>
      <c r="M132" s="1146"/>
      <c r="O132" s="85"/>
      <c r="P132" s="34"/>
      <c r="Q132" s="34"/>
      <c r="R132" s="44"/>
      <c r="S132" s="44"/>
      <c r="T132" s="34"/>
    </row>
    <row r="133" spans="1:21" ht="290.25" customHeight="1">
      <c r="A133" s="1314"/>
      <c r="B133" s="1315"/>
      <c r="C133" s="1315"/>
      <c r="D133" s="1315"/>
      <c r="E133" s="1315"/>
      <c r="F133" s="1315"/>
      <c r="G133" s="1315"/>
      <c r="H133" s="1315"/>
      <c r="I133" s="1315"/>
      <c r="J133" s="1315"/>
      <c r="K133" s="1315"/>
      <c r="L133" s="1316"/>
      <c r="M133" s="1146"/>
      <c r="O133" s="85"/>
      <c r="P133" s="34"/>
      <c r="Q133" s="34"/>
      <c r="R133" s="44"/>
      <c r="S133" s="44"/>
      <c r="T133" s="34"/>
    </row>
    <row r="134" spans="1:21" ht="30" customHeight="1" thickBot="1">
      <c r="A134" s="1317"/>
      <c r="B134" s="1318"/>
      <c r="C134" s="1318"/>
      <c r="D134" s="1318"/>
      <c r="E134" s="1318"/>
      <c r="F134" s="1318"/>
      <c r="G134" s="1318"/>
      <c r="H134" s="1318"/>
      <c r="I134" s="1318"/>
      <c r="J134" s="1318"/>
      <c r="K134" s="1318"/>
      <c r="L134" s="1319"/>
      <c r="M134" s="1146"/>
      <c r="O134" s="85"/>
      <c r="P134" s="34"/>
      <c r="Q134" s="34"/>
      <c r="R134" s="44"/>
      <c r="S134" s="44"/>
      <c r="T134" s="34"/>
    </row>
    <row r="135" spans="1:21" ht="30" customHeight="1">
      <c r="A135" s="27" t="s">
        <v>280</v>
      </c>
      <c r="B135" s="82">
        <v>1441</v>
      </c>
      <c r="C135" s="144" t="s">
        <v>374</v>
      </c>
      <c r="D135" s="214"/>
      <c r="E135" s="74" t="s">
        <v>282</v>
      </c>
      <c r="F135" s="75" t="s">
        <v>8</v>
      </c>
      <c r="G135" s="58" t="s">
        <v>290</v>
      </c>
      <c r="H135" s="215">
        <v>7623</v>
      </c>
      <c r="I135" s="74" t="s">
        <v>283</v>
      </c>
      <c r="J135" s="1310" t="s">
        <v>2527</v>
      </c>
      <c r="K135" s="1310"/>
      <c r="L135" s="1311"/>
      <c r="M135" s="1146"/>
      <c r="O135" s="85"/>
      <c r="P135" s="34"/>
      <c r="Q135" s="34"/>
      <c r="R135" s="44"/>
      <c r="S135" s="44"/>
      <c r="T135" s="34"/>
    </row>
    <row r="136" spans="1:21" ht="30" customHeight="1">
      <c r="A136" s="37" t="s">
        <v>304</v>
      </c>
      <c r="B136" s="1201" t="s">
        <v>330</v>
      </c>
      <c r="C136" s="1202"/>
      <c r="D136" s="1203"/>
      <c r="E136" s="150" t="s">
        <v>295</v>
      </c>
      <c r="F136" s="150" t="s">
        <v>331</v>
      </c>
      <c r="G136" s="1204" t="s">
        <v>332</v>
      </c>
      <c r="H136" s="1205"/>
      <c r="I136" s="151" t="s">
        <v>305</v>
      </c>
      <c r="J136" s="151"/>
      <c r="K136" s="1206" t="s">
        <v>297</v>
      </c>
      <c r="L136" s="1207"/>
      <c r="M136" s="1146"/>
      <c r="P136" s="34"/>
      <c r="Q136" s="34"/>
      <c r="R136" s="34"/>
      <c r="S136" s="44"/>
      <c r="T136" s="44"/>
      <c r="U136" s="34"/>
    </row>
    <row r="137" spans="1:21" ht="30" customHeight="1">
      <c r="A137" s="45" t="s">
        <v>375</v>
      </c>
      <c r="B137" s="1179" t="s">
        <v>376</v>
      </c>
      <c r="C137" s="1180"/>
      <c r="D137" s="1181"/>
      <c r="E137" s="153">
        <v>203</v>
      </c>
      <c r="F137" s="20" t="s">
        <v>8</v>
      </c>
      <c r="G137" s="154"/>
      <c r="H137" s="155"/>
      <c r="I137" s="20">
        <v>1.05</v>
      </c>
      <c r="J137" s="20"/>
      <c r="K137" s="153">
        <f>+E137*I137</f>
        <v>213.15</v>
      </c>
      <c r="L137" s="20" t="s">
        <v>8</v>
      </c>
      <c r="M137" s="1146"/>
      <c r="P137" s="34"/>
      <c r="Q137" s="34"/>
      <c r="R137" s="34"/>
      <c r="S137" s="44"/>
      <c r="T137" s="44"/>
      <c r="U137" s="34"/>
    </row>
    <row r="138" spans="1:21" ht="30" customHeight="1">
      <c r="A138" s="45" t="s">
        <v>377</v>
      </c>
      <c r="B138" s="1179" t="s">
        <v>378</v>
      </c>
      <c r="C138" s="1180"/>
      <c r="D138" s="1181"/>
      <c r="E138" s="153">
        <v>3.53</v>
      </c>
      <c r="F138" s="20" t="s">
        <v>8</v>
      </c>
      <c r="G138" s="154"/>
      <c r="H138" s="155"/>
      <c r="I138" s="20">
        <v>1.05</v>
      </c>
      <c r="J138" s="20"/>
      <c r="K138" s="153">
        <f>+E138*I138</f>
        <v>3.7065000000000001</v>
      </c>
      <c r="L138" s="20" t="s">
        <v>8</v>
      </c>
      <c r="M138" s="1146"/>
      <c r="P138" s="34"/>
      <c r="Q138" s="34"/>
      <c r="R138" s="34"/>
      <c r="S138" s="44"/>
      <c r="T138" s="44"/>
      <c r="U138" s="34"/>
    </row>
    <row r="139" spans="1:21" ht="30" customHeight="1">
      <c r="A139" s="45"/>
      <c r="B139" s="1267"/>
      <c r="C139" s="1267"/>
      <c r="D139" s="1267"/>
      <c r="E139" s="153"/>
      <c r="F139" s="20"/>
      <c r="G139" s="20"/>
      <c r="H139" s="20"/>
      <c r="I139" s="20"/>
      <c r="J139" s="20" t="s">
        <v>379</v>
      </c>
      <c r="K139" s="153">
        <f>SUM(K137:K138)</f>
        <v>216.85650000000001</v>
      </c>
      <c r="L139" s="20" t="s">
        <v>8</v>
      </c>
      <c r="M139" s="1146"/>
      <c r="P139" s="34"/>
      <c r="Q139" s="34"/>
      <c r="R139" s="34"/>
      <c r="S139" s="44"/>
      <c r="T139" s="44"/>
      <c r="U139" s="34"/>
    </row>
    <row r="140" spans="1:21" ht="30" customHeight="1">
      <c r="A140" s="45"/>
      <c r="B140" s="157"/>
      <c r="C140" s="157"/>
      <c r="D140" s="157"/>
      <c r="E140" s="153"/>
      <c r="F140" s="1174" t="s">
        <v>308</v>
      </c>
      <c r="G140" s="1208" t="s">
        <v>380</v>
      </c>
      <c r="H140" s="1208"/>
      <c r="I140" s="1208"/>
      <c r="J140" s="1208"/>
      <c r="K140" s="123">
        <v>1.08</v>
      </c>
      <c r="L140" s="20"/>
      <c r="M140" s="1146"/>
      <c r="P140" s="34"/>
      <c r="Q140" s="34"/>
      <c r="R140" s="34"/>
      <c r="S140" s="44"/>
      <c r="T140" s="44"/>
      <c r="U140" s="34"/>
    </row>
    <row r="141" spans="1:21" ht="30" customHeight="1">
      <c r="A141" s="45"/>
      <c r="B141" s="157"/>
      <c r="C141" s="157"/>
      <c r="D141" s="157"/>
      <c r="E141" s="153"/>
      <c r="F141" s="1175"/>
      <c r="G141" s="1209" t="s">
        <v>310</v>
      </c>
      <c r="H141" s="1209"/>
      <c r="I141" s="1209"/>
      <c r="J141" s="1209"/>
      <c r="K141" s="123">
        <v>1.07</v>
      </c>
      <c r="L141" s="20"/>
      <c r="M141" s="1146"/>
      <c r="P141" s="34"/>
      <c r="Q141" s="34"/>
      <c r="R141" s="34"/>
      <c r="S141" s="44"/>
      <c r="T141" s="44"/>
      <c r="U141" s="34"/>
    </row>
    <row r="142" spans="1:21" s="38" customFormat="1" ht="30" customHeight="1">
      <c r="A142" s="45"/>
      <c r="B142" s="20"/>
      <c r="C142" s="18"/>
      <c r="D142" s="18"/>
      <c r="E142" s="18"/>
      <c r="F142" s="18"/>
      <c r="G142" s="18"/>
      <c r="H142" s="18"/>
      <c r="I142" s="18"/>
      <c r="J142" s="20" t="s">
        <v>289</v>
      </c>
      <c r="K142" s="23">
        <f>+K139*K140/K141</f>
        <v>218.88319626168226</v>
      </c>
      <c r="L142" s="20" t="s">
        <v>8</v>
      </c>
      <c r="M142" s="1146"/>
      <c r="N142" s="193"/>
      <c r="O142" s="1119"/>
      <c r="P142" s="39"/>
      <c r="Q142" s="39"/>
      <c r="R142" s="39"/>
      <c r="S142" s="84"/>
      <c r="T142" s="84"/>
      <c r="U142" s="39"/>
    </row>
    <row r="143" spans="1:21" ht="30" customHeight="1" thickBot="1">
      <c r="A143" s="45"/>
      <c r="B143" s="20"/>
      <c r="C143" s="18"/>
      <c r="D143" s="18"/>
      <c r="E143" s="18"/>
      <c r="F143" s="18"/>
      <c r="G143" s="160" t="s">
        <v>312</v>
      </c>
      <c r="H143" s="18"/>
      <c r="I143" s="18"/>
      <c r="J143" s="139">
        <f>VLOOKUP(B135,'Mil Cost Premiums for RUCs'!$A$4:$R$266,18,FALSE)</f>
        <v>1.3319480854780448</v>
      </c>
      <c r="K143" s="23">
        <f>+K142*J143</f>
        <v>291.54105420406279</v>
      </c>
      <c r="L143" s="20" t="s">
        <v>8</v>
      </c>
      <c r="M143" s="1146"/>
      <c r="P143" s="34"/>
      <c r="Q143" s="34"/>
      <c r="R143" s="34"/>
      <c r="S143" s="44"/>
      <c r="T143" s="44"/>
      <c r="U143" s="34"/>
    </row>
    <row r="144" spans="1:21" ht="30" customHeight="1" thickBot="1">
      <c r="A144" s="1165"/>
      <c r="B144" s="1166"/>
      <c r="C144" s="1166"/>
      <c r="D144" s="1166"/>
      <c r="E144" s="1166"/>
      <c r="F144" s="1166"/>
      <c r="G144" s="1166"/>
      <c r="H144" s="1166"/>
      <c r="I144" s="1166"/>
      <c r="J144" s="1166"/>
      <c r="K144" s="1166"/>
      <c r="L144" s="1167"/>
      <c r="M144" s="1146"/>
      <c r="P144" s="34"/>
      <c r="Q144" s="34"/>
      <c r="R144" s="34"/>
      <c r="S144" s="44"/>
      <c r="T144" s="44"/>
      <c r="U144" s="34"/>
    </row>
    <row r="145" spans="1:21" ht="30" customHeight="1">
      <c r="A145" s="162" t="s">
        <v>280</v>
      </c>
      <c r="B145" s="163">
        <v>1442</v>
      </c>
      <c r="C145" s="1290" t="s">
        <v>381</v>
      </c>
      <c r="D145" s="1291"/>
      <c r="E145" s="216" t="s">
        <v>282</v>
      </c>
      <c r="F145" s="217" t="s">
        <v>8</v>
      </c>
      <c r="G145" s="58" t="s">
        <v>290</v>
      </c>
      <c r="H145" s="218">
        <v>11804</v>
      </c>
      <c r="I145" s="216" t="s">
        <v>283</v>
      </c>
      <c r="J145" s="1310" t="s">
        <v>2527</v>
      </c>
      <c r="K145" s="1310"/>
      <c r="L145" s="1311"/>
      <c r="M145" s="1146"/>
      <c r="P145" s="34"/>
      <c r="Q145" s="34"/>
      <c r="R145" s="34"/>
      <c r="S145" s="44"/>
      <c r="T145" s="44"/>
      <c r="U145" s="34"/>
    </row>
    <row r="146" spans="1:21" ht="30" customHeight="1">
      <c r="A146" s="165" t="s">
        <v>304</v>
      </c>
      <c r="B146" s="1324" t="s">
        <v>330</v>
      </c>
      <c r="C146" s="1325"/>
      <c r="D146" s="1326"/>
      <c r="E146" s="219" t="s">
        <v>295</v>
      </c>
      <c r="F146" s="219" t="s">
        <v>331</v>
      </c>
      <c r="G146" s="1327" t="s">
        <v>332</v>
      </c>
      <c r="H146" s="1328"/>
      <c r="I146" s="220" t="s">
        <v>305</v>
      </c>
      <c r="J146" s="220"/>
      <c r="K146" s="1206" t="s">
        <v>297</v>
      </c>
      <c r="L146" s="1207"/>
      <c r="M146" s="1146"/>
      <c r="P146" s="34"/>
      <c r="Q146" s="34"/>
      <c r="R146" s="34"/>
      <c r="S146" s="44"/>
      <c r="T146" s="44"/>
      <c r="U146" s="34"/>
    </row>
    <row r="147" spans="1:21" ht="30" customHeight="1">
      <c r="A147" s="10" t="s">
        <v>382</v>
      </c>
      <c r="B147" s="1182" t="s">
        <v>383</v>
      </c>
      <c r="C147" s="1183"/>
      <c r="D147" s="1184"/>
      <c r="E147" s="115">
        <v>230</v>
      </c>
      <c r="F147" s="10" t="s">
        <v>8</v>
      </c>
      <c r="G147" s="221"/>
      <c r="H147" s="121"/>
      <c r="I147" s="10">
        <v>1.05</v>
      </c>
      <c r="J147" s="10"/>
      <c r="K147" s="115">
        <f>+E147*I147</f>
        <v>241.5</v>
      </c>
      <c r="L147" s="10" t="s">
        <v>8</v>
      </c>
      <c r="M147" s="1146"/>
      <c r="P147" s="34"/>
      <c r="Q147" s="34"/>
      <c r="R147" s="34"/>
      <c r="S147" s="44"/>
      <c r="T147" s="44"/>
      <c r="U147" s="34"/>
    </row>
    <row r="148" spans="1:21" ht="30" customHeight="1">
      <c r="A148" s="10" t="s">
        <v>377</v>
      </c>
      <c r="B148" s="1182" t="s">
        <v>384</v>
      </c>
      <c r="C148" s="1183"/>
      <c r="D148" s="1184"/>
      <c r="E148" s="115">
        <v>4.17</v>
      </c>
      <c r="F148" s="10" t="s">
        <v>8</v>
      </c>
      <c r="G148" s="221"/>
      <c r="H148" s="121"/>
      <c r="I148" s="10">
        <v>1.05</v>
      </c>
      <c r="J148" s="10"/>
      <c r="K148" s="115">
        <f>+E148*I148</f>
        <v>4.3784999999999998</v>
      </c>
      <c r="L148" s="10" t="s">
        <v>8</v>
      </c>
      <c r="M148" s="1146"/>
      <c r="P148" s="34"/>
      <c r="Q148" s="34"/>
      <c r="R148" s="34"/>
      <c r="S148" s="44"/>
      <c r="T148" s="44"/>
      <c r="U148" s="34"/>
    </row>
    <row r="149" spans="1:21" ht="30" customHeight="1">
      <c r="A149" s="10"/>
      <c r="B149" s="1329"/>
      <c r="C149" s="1329"/>
      <c r="D149" s="1329"/>
      <c r="E149" s="115"/>
      <c r="F149" s="10"/>
      <c r="G149" s="10"/>
      <c r="H149" s="10"/>
      <c r="I149" s="10"/>
      <c r="J149" s="10" t="s">
        <v>346</v>
      </c>
      <c r="K149" s="115">
        <f>SUM(K147:K148)</f>
        <v>245.8785</v>
      </c>
      <c r="L149" s="10" t="s">
        <v>8</v>
      </c>
      <c r="M149" s="1146"/>
      <c r="P149" s="34"/>
      <c r="Q149" s="34"/>
      <c r="R149" s="34"/>
      <c r="S149" s="44"/>
      <c r="T149" s="44"/>
      <c r="U149" s="34"/>
    </row>
    <row r="150" spans="1:21" ht="30" customHeight="1">
      <c r="A150" s="10"/>
      <c r="B150" s="222"/>
      <c r="C150" s="222"/>
      <c r="D150" s="222"/>
      <c r="E150" s="115"/>
      <c r="F150" s="1174" t="s">
        <v>308</v>
      </c>
      <c r="G150" s="1208" t="s">
        <v>309</v>
      </c>
      <c r="H150" s="1208"/>
      <c r="I150" s="1208"/>
      <c r="J150" s="1208"/>
      <c r="K150" s="123">
        <v>1.08</v>
      </c>
      <c r="L150" s="10"/>
      <c r="M150" s="1146"/>
      <c r="P150" s="34"/>
      <c r="Q150" s="34"/>
      <c r="R150" s="34"/>
      <c r="S150" s="44"/>
      <c r="T150" s="44"/>
      <c r="U150" s="34"/>
    </row>
    <row r="151" spans="1:21" ht="30" customHeight="1">
      <c r="A151" s="10"/>
      <c r="B151" s="222"/>
      <c r="C151" s="222"/>
      <c r="D151" s="222"/>
      <c r="E151" s="115"/>
      <c r="F151" s="1175"/>
      <c r="G151" s="1209" t="s">
        <v>310</v>
      </c>
      <c r="H151" s="1209"/>
      <c r="I151" s="1209"/>
      <c r="J151" s="1209"/>
      <c r="K151" s="123">
        <v>1.07</v>
      </c>
      <c r="L151" s="10"/>
      <c r="M151" s="1146"/>
      <c r="P151" s="34"/>
      <c r="Q151" s="34"/>
      <c r="R151" s="34"/>
      <c r="S151" s="44"/>
      <c r="T151" s="44"/>
      <c r="U151" s="34"/>
    </row>
    <row r="152" spans="1:21" ht="30" customHeight="1">
      <c r="A152" s="10"/>
      <c r="B152" s="10"/>
      <c r="C152" s="13"/>
      <c r="D152" s="13"/>
      <c r="E152" s="13"/>
      <c r="F152" s="13"/>
      <c r="G152" s="13"/>
      <c r="H152" s="13"/>
      <c r="I152" s="13"/>
      <c r="J152" s="10" t="s">
        <v>289</v>
      </c>
      <c r="K152" s="14">
        <f>+K149*K150/K151</f>
        <v>248.17642990654207</v>
      </c>
      <c r="L152" s="10" t="s">
        <v>8</v>
      </c>
      <c r="M152" s="1146"/>
      <c r="P152" s="34"/>
      <c r="Q152" s="34"/>
      <c r="R152" s="34"/>
      <c r="S152" s="44"/>
      <c r="T152" s="44"/>
      <c r="U152" s="34"/>
    </row>
    <row r="153" spans="1:21" ht="30" customHeight="1">
      <c r="A153" s="223"/>
      <c r="B153" s="224"/>
      <c r="C153" s="225"/>
      <c r="D153" s="225"/>
      <c r="E153" s="225"/>
      <c r="F153" s="225"/>
      <c r="G153" s="226"/>
      <c r="H153" s="226"/>
      <c r="I153" s="227" t="s">
        <v>385</v>
      </c>
      <c r="J153" s="139">
        <f>VLOOKUP(B145,'Mil Cost Premiums for RUCs'!$A$4:$R$266,18,FALSE)</f>
        <v>1.3319480854780448</v>
      </c>
      <c r="K153" s="228">
        <f>+K152*J153</f>
        <v>330.55812067479491</v>
      </c>
      <c r="L153" s="10" t="s">
        <v>8</v>
      </c>
      <c r="M153" s="1146"/>
      <c r="P153" s="34"/>
      <c r="Q153" s="34"/>
      <c r="R153" s="34"/>
      <c r="S153" s="44"/>
      <c r="T153" s="44"/>
      <c r="U153" s="34"/>
    </row>
    <row r="154" spans="1:21" ht="60" customHeight="1">
      <c r="A154" s="1191" t="s">
        <v>313</v>
      </c>
      <c r="B154" s="1191"/>
      <c r="C154" s="1191"/>
      <c r="D154" s="1191"/>
      <c r="E154" s="1191"/>
      <c r="F154" s="1191"/>
      <c r="G154" s="1191"/>
      <c r="H154" s="1191"/>
      <c r="I154" s="1191"/>
      <c r="J154" s="1191"/>
      <c r="K154" s="1191"/>
      <c r="L154" s="1191"/>
      <c r="M154" s="1146"/>
    </row>
    <row r="155" spans="1:21" ht="30" customHeight="1">
      <c r="A155" s="1248" t="s">
        <v>314</v>
      </c>
      <c r="B155" s="1274"/>
      <c r="C155" s="1274"/>
      <c r="D155" s="1270" t="s">
        <v>386</v>
      </c>
      <c r="E155" s="1322"/>
      <c r="F155" s="1322"/>
      <c r="G155" s="1322"/>
      <c r="H155" s="1322"/>
      <c r="I155" s="1322"/>
      <c r="J155" s="1322"/>
      <c r="K155" s="1322"/>
      <c r="L155" s="1323"/>
      <c r="M155" s="1146"/>
    </row>
    <row r="156" spans="1:21" ht="30" customHeight="1">
      <c r="A156" s="1248" t="s">
        <v>316</v>
      </c>
      <c r="B156" s="1274"/>
      <c r="C156" s="1274"/>
      <c r="D156" s="1332" t="s">
        <v>387</v>
      </c>
      <c r="E156" s="1333"/>
      <c r="F156" s="1333"/>
      <c r="G156" s="1333"/>
      <c r="H156" s="1333"/>
      <c r="I156" s="1333"/>
      <c r="J156" s="1333"/>
      <c r="K156" s="1333"/>
      <c r="L156" s="1333"/>
      <c r="M156" s="1146"/>
      <c r="P156" s="34"/>
      <c r="Q156" s="34"/>
      <c r="R156" s="34"/>
      <c r="S156" s="44"/>
      <c r="T156" s="44"/>
      <c r="U156" s="34"/>
    </row>
    <row r="157" spans="1:21" s="38" customFormat="1" ht="30" customHeight="1">
      <c r="A157" s="1248" t="s">
        <v>317</v>
      </c>
      <c r="B157" s="1274"/>
      <c r="C157" s="1274"/>
      <c r="D157" s="1270" t="s">
        <v>2563</v>
      </c>
      <c r="E157" s="1256"/>
      <c r="F157" s="1256"/>
      <c r="G157" s="1256"/>
      <c r="H157" s="1256"/>
      <c r="I157" s="1256"/>
      <c r="J157" s="1256"/>
      <c r="K157" s="1256"/>
      <c r="L157" s="1257"/>
      <c r="M157" s="1146"/>
      <c r="N157" s="193"/>
      <c r="O157" s="1119"/>
      <c r="P157" s="39"/>
      <c r="Q157" s="39"/>
      <c r="R157" s="39"/>
      <c r="S157" s="84"/>
      <c r="T157" s="84"/>
      <c r="U157" s="39"/>
    </row>
    <row r="158" spans="1:21" ht="30" customHeight="1">
      <c r="A158" s="1248" t="s">
        <v>318</v>
      </c>
      <c r="B158" s="1274"/>
      <c r="C158" s="1274"/>
      <c r="D158" s="1270" t="s">
        <v>388</v>
      </c>
      <c r="E158" s="1256"/>
      <c r="F158" s="1256"/>
      <c r="G158" s="1256"/>
      <c r="H158" s="1256"/>
      <c r="I158" s="1256"/>
      <c r="J158" s="1256"/>
      <c r="K158" s="1256"/>
      <c r="L158" s="1257"/>
      <c r="M158" s="1146"/>
      <c r="P158" s="34"/>
      <c r="Q158" s="34"/>
      <c r="R158" s="34"/>
      <c r="S158" s="44"/>
      <c r="T158" s="44"/>
      <c r="U158" s="34"/>
    </row>
    <row r="159" spans="1:21" ht="30" customHeight="1">
      <c r="A159" s="1248" t="s">
        <v>320</v>
      </c>
      <c r="B159" s="1274"/>
      <c r="C159" s="1274"/>
      <c r="D159" s="1270" t="s">
        <v>2564</v>
      </c>
      <c r="E159" s="1256"/>
      <c r="F159" s="1256"/>
      <c r="G159" s="1256"/>
      <c r="H159" s="1256"/>
      <c r="I159" s="1256"/>
      <c r="J159" s="1256"/>
      <c r="K159" s="1256"/>
      <c r="L159" s="1257"/>
      <c r="M159" s="1146"/>
      <c r="P159" s="34"/>
      <c r="Q159" s="34"/>
      <c r="R159" s="34"/>
      <c r="S159" s="44"/>
      <c r="T159" s="44"/>
      <c r="U159" s="34"/>
    </row>
    <row r="160" spans="1:21" ht="30" customHeight="1">
      <c r="A160" s="1248" t="s">
        <v>322</v>
      </c>
      <c r="B160" s="1274"/>
      <c r="C160" s="1274"/>
      <c r="D160" s="1331" t="s">
        <v>389</v>
      </c>
      <c r="E160" s="1322"/>
      <c r="F160" s="1322"/>
      <c r="G160" s="1322"/>
      <c r="H160" s="1322"/>
      <c r="I160" s="1322"/>
      <c r="J160" s="1322"/>
      <c r="K160" s="1322"/>
      <c r="L160" s="1323"/>
      <c r="M160" s="1146"/>
      <c r="P160" s="34"/>
      <c r="Q160" s="34"/>
      <c r="R160" s="34"/>
      <c r="S160" s="44"/>
      <c r="T160" s="44"/>
      <c r="U160" s="34"/>
    </row>
    <row r="161" spans="1:23" ht="30" customHeight="1">
      <c r="A161" s="1248" t="s">
        <v>324</v>
      </c>
      <c r="B161" s="1274"/>
      <c r="C161" s="1274"/>
      <c r="D161" s="1331" t="s">
        <v>390</v>
      </c>
      <c r="E161" s="1322"/>
      <c r="F161" s="1322"/>
      <c r="G161" s="1322"/>
      <c r="H161" s="1322"/>
      <c r="I161" s="1322"/>
      <c r="J161" s="1322"/>
      <c r="K161" s="1322"/>
      <c r="L161" s="1323"/>
      <c r="M161" s="1146"/>
      <c r="P161" s="34"/>
      <c r="Q161" s="34"/>
      <c r="R161" s="34"/>
      <c r="S161" s="44"/>
      <c r="T161" s="44"/>
      <c r="U161" s="34"/>
    </row>
    <row r="162" spans="1:23" ht="81.75" customHeight="1" thickBot="1">
      <c r="A162" s="1254" t="s">
        <v>325</v>
      </c>
      <c r="B162" s="1297"/>
      <c r="C162" s="1297"/>
      <c r="D162" s="1330" t="s">
        <v>391</v>
      </c>
      <c r="E162" s="1253"/>
      <c r="F162" s="1253"/>
      <c r="G162" s="1253"/>
      <c r="H162" s="1253"/>
      <c r="I162" s="1253"/>
      <c r="J162" s="1253"/>
      <c r="K162" s="1253"/>
      <c r="L162" s="1253"/>
      <c r="M162" s="1146"/>
      <c r="P162" s="34"/>
      <c r="Q162" s="34"/>
      <c r="R162" s="34"/>
      <c r="S162" s="44"/>
      <c r="T162" s="44"/>
      <c r="U162" s="34"/>
    </row>
    <row r="163" spans="1:23" ht="30" customHeight="1" thickBot="1">
      <c r="A163" s="1165"/>
      <c r="B163" s="1166"/>
      <c r="C163" s="1166"/>
      <c r="D163" s="1166"/>
      <c r="E163" s="1166"/>
      <c r="F163" s="1166"/>
      <c r="G163" s="1166"/>
      <c r="H163" s="1166"/>
      <c r="I163" s="1166"/>
      <c r="J163" s="1166"/>
      <c r="K163" s="1166"/>
      <c r="L163" s="1167"/>
      <c r="M163" s="1146"/>
      <c r="P163" s="34"/>
      <c r="Q163" s="34"/>
      <c r="R163" s="34"/>
      <c r="S163" s="44"/>
      <c r="T163" s="44"/>
      <c r="U163" s="34"/>
    </row>
    <row r="164" spans="1:23" ht="30" customHeight="1">
      <c r="A164" s="162" t="s">
        <v>280</v>
      </c>
      <c r="B164" s="163">
        <v>1443</v>
      </c>
      <c r="C164" s="1290" t="s">
        <v>392</v>
      </c>
      <c r="D164" s="1291"/>
      <c r="E164" s="216" t="s">
        <v>282</v>
      </c>
      <c r="F164" s="217" t="s">
        <v>8</v>
      </c>
      <c r="G164" s="58" t="s">
        <v>290</v>
      </c>
      <c r="H164" s="1011">
        <v>6869</v>
      </c>
      <c r="I164" s="216" t="s">
        <v>283</v>
      </c>
      <c r="J164" s="1310" t="s">
        <v>2527</v>
      </c>
      <c r="K164" s="1310"/>
      <c r="L164" s="1311"/>
      <c r="M164" s="1146"/>
      <c r="P164" s="34"/>
      <c r="Q164" s="34"/>
      <c r="R164" s="34"/>
      <c r="S164" s="44"/>
      <c r="T164" s="44"/>
      <c r="U164" s="34"/>
    </row>
    <row r="165" spans="1:23" ht="30" customHeight="1">
      <c r="A165" s="165" t="s">
        <v>304</v>
      </c>
      <c r="B165" s="231" t="s">
        <v>330</v>
      </c>
      <c r="C165" s="232"/>
      <c r="D165" s="233"/>
      <c r="E165" s="219" t="s">
        <v>295</v>
      </c>
      <c r="F165" s="219" t="s">
        <v>331</v>
      </c>
      <c r="G165" s="1206" t="s">
        <v>332</v>
      </c>
      <c r="H165" s="1289"/>
      <c r="I165" s="220" t="s">
        <v>305</v>
      </c>
      <c r="J165" s="220"/>
      <c r="K165" s="1206" t="s">
        <v>297</v>
      </c>
      <c r="L165" s="1207"/>
      <c r="M165" s="1146"/>
      <c r="P165" s="34"/>
      <c r="Q165" s="34"/>
      <c r="R165" s="34"/>
      <c r="S165" s="44"/>
      <c r="T165" s="44"/>
      <c r="U165" s="34"/>
    </row>
    <row r="166" spans="1:23" ht="30" customHeight="1">
      <c r="A166" s="10" t="s">
        <v>393</v>
      </c>
      <c r="B166" s="1182" t="s">
        <v>394</v>
      </c>
      <c r="C166" s="1183"/>
      <c r="D166" s="1184"/>
      <c r="E166" s="115">
        <v>77</v>
      </c>
      <c r="F166" s="10" t="s">
        <v>8</v>
      </c>
      <c r="G166" s="221"/>
      <c r="H166" s="121"/>
      <c r="I166" s="10">
        <v>1.05</v>
      </c>
      <c r="J166" s="10"/>
      <c r="K166" s="115">
        <f>+E166*I166</f>
        <v>80.850000000000009</v>
      </c>
      <c r="L166" s="10" t="s">
        <v>8</v>
      </c>
      <c r="M166" s="1146"/>
    </row>
    <row r="167" spans="1:23" ht="30" customHeight="1">
      <c r="A167" s="10" t="s">
        <v>395</v>
      </c>
      <c r="B167" s="1182" t="s">
        <v>2536</v>
      </c>
      <c r="C167" s="1183"/>
      <c r="D167" s="1184"/>
      <c r="E167" s="115">
        <f>(19.15+29.75)/2</f>
        <v>24.45</v>
      </c>
      <c r="F167" s="10" t="s">
        <v>396</v>
      </c>
      <c r="G167" s="221">
        <v>160</v>
      </c>
      <c r="H167" s="121" t="s">
        <v>8</v>
      </c>
      <c r="I167" s="10">
        <v>1.06</v>
      </c>
      <c r="J167" s="10"/>
      <c r="K167" s="115">
        <f>+E167*G167/H164*I167</f>
        <v>0.60368612607366434</v>
      </c>
      <c r="L167" s="10" t="s">
        <v>8</v>
      </c>
      <c r="M167" s="1146"/>
    </row>
    <row r="168" spans="1:23" ht="30" customHeight="1">
      <c r="A168" s="10" t="s">
        <v>395</v>
      </c>
      <c r="B168" s="119" t="s">
        <v>397</v>
      </c>
      <c r="C168" s="120"/>
      <c r="D168" s="121"/>
      <c r="E168" s="115">
        <f>(1610+2280)/2</f>
        <v>1945</v>
      </c>
      <c r="F168" s="10" t="s">
        <v>10</v>
      </c>
      <c r="G168" s="221">
        <v>2</v>
      </c>
      <c r="H168" s="121" t="s">
        <v>10</v>
      </c>
      <c r="I168" s="10">
        <v>1.06</v>
      </c>
      <c r="J168" s="10"/>
      <c r="K168" s="115">
        <f>+((E168*G168)/H164)*I168</f>
        <v>0.60029116319697196</v>
      </c>
      <c r="L168" s="10" t="s">
        <v>8</v>
      </c>
      <c r="M168" s="1146"/>
      <c r="P168" s="34"/>
      <c r="Q168" s="34"/>
      <c r="R168" s="34"/>
      <c r="S168" s="44"/>
      <c r="T168" s="44"/>
      <c r="U168" s="34"/>
    </row>
    <row r="169" spans="1:23" s="38" customFormat="1" ht="30" customHeight="1">
      <c r="A169" s="10" t="s">
        <v>398</v>
      </c>
      <c r="B169" s="1182" t="s">
        <v>399</v>
      </c>
      <c r="C169" s="1183"/>
      <c r="D169" s="1184"/>
      <c r="E169" s="115">
        <f>+(32.75+78)/2</f>
        <v>55.375</v>
      </c>
      <c r="F169" s="10" t="s">
        <v>10</v>
      </c>
      <c r="G169" s="234">
        <f>(E169)/$H$164</f>
        <v>8.061581016159558E-3</v>
      </c>
      <c r="H169" s="121" t="s">
        <v>400</v>
      </c>
      <c r="I169" s="10">
        <v>1.04</v>
      </c>
      <c r="J169" s="10"/>
      <c r="K169" s="115">
        <f>+G169*I169</f>
        <v>8.3840442568059413E-3</v>
      </c>
      <c r="L169" s="10" t="s">
        <v>8</v>
      </c>
      <c r="M169" s="1146"/>
      <c r="N169" s="193"/>
      <c r="O169" s="1119"/>
      <c r="P169" s="39"/>
      <c r="Q169" s="39"/>
      <c r="R169" s="39"/>
      <c r="S169" s="39"/>
      <c r="T169" s="39"/>
      <c r="U169" s="39"/>
    </row>
    <row r="170" spans="1:23" ht="30" customHeight="1">
      <c r="A170" s="10" t="s">
        <v>398</v>
      </c>
      <c r="B170" s="119" t="s">
        <v>401</v>
      </c>
      <c r="C170" s="120"/>
      <c r="D170" s="121"/>
      <c r="E170" s="115">
        <f>+(6150+11800)/2</f>
        <v>8975</v>
      </c>
      <c r="F170" s="10" t="s">
        <v>10</v>
      </c>
      <c r="G170" s="234">
        <f>(+E170)/$H$164</f>
        <v>1.3065948464114137</v>
      </c>
      <c r="H170" s="121" t="s">
        <v>400</v>
      </c>
      <c r="I170" s="10">
        <v>1.04</v>
      </c>
      <c r="J170" s="10"/>
      <c r="K170" s="115">
        <f>+G170*I170</f>
        <v>1.3588586402678702</v>
      </c>
      <c r="L170" s="10" t="s">
        <v>8</v>
      </c>
      <c r="M170" s="1146"/>
      <c r="N170" s="961"/>
      <c r="R170" s="34"/>
      <c r="S170" s="34"/>
      <c r="T170" s="34"/>
      <c r="U170" s="44"/>
      <c r="V170" s="44"/>
      <c r="W170" s="34"/>
    </row>
    <row r="171" spans="1:23" ht="30" customHeight="1">
      <c r="A171" s="10" t="s">
        <v>398</v>
      </c>
      <c r="B171" s="1182" t="s">
        <v>402</v>
      </c>
      <c r="C171" s="1183"/>
      <c r="D171" s="1184"/>
      <c r="E171" s="115">
        <f>+(630+965)/2</f>
        <v>797.5</v>
      </c>
      <c r="F171" s="10" t="s">
        <v>10</v>
      </c>
      <c r="G171" s="234">
        <f>+(E171)/$H$164</f>
        <v>0.11610132479254623</v>
      </c>
      <c r="H171" s="121" t="s">
        <v>400</v>
      </c>
      <c r="I171" s="10">
        <v>1.04</v>
      </c>
      <c r="J171" s="10"/>
      <c r="K171" s="115">
        <f>+G171*I171</f>
        <v>0.12074537778424808</v>
      </c>
      <c r="L171" s="10" t="s">
        <v>8</v>
      </c>
      <c r="M171" s="1146"/>
      <c r="N171" s="282"/>
      <c r="R171" s="34"/>
      <c r="S171" s="34"/>
      <c r="T171" s="34"/>
      <c r="U171" s="44"/>
      <c r="V171" s="44"/>
      <c r="W171" s="34"/>
    </row>
    <row r="172" spans="1:23" ht="30" customHeight="1">
      <c r="A172" s="10" t="s">
        <v>398</v>
      </c>
      <c r="B172" s="1182" t="s">
        <v>403</v>
      </c>
      <c r="C172" s="1183"/>
      <c r="D172" s="1184"/>
      <c r="E172" s="115">
        <f>+(1110+3300)/2</f>
        <v>2205</v>
      </c>
      <c r="F172" s="10" t="s">
        <v>10</v>
      </c>
      <c r="G172" s="234">
        <f>+(E172)/$H$164</f>
        <v>0.32100742466152277</v>
      </c>
      <c r="H172" s="121" t="s">
        <v>400</v>
      </c>
      <c r="I172" s="10">
        <v>1.04</v>
      </c>
      <c r="J172" s="10"/>
      <c r="K172" s="115">
        <f>+G172*I172</f>
        <v>0.33384772164798371</v>
      </c>
      <c r="L172" s="10" t="s">
        <v>8</v>
      </c>
      <c r="M172" s="1146"/>
      <c r="N172" s="282"/>
      <c r="R172" s="34"/>
      <c r="S172" s="34"/>
      <c r="T172" s="34"/>
      <c r="U172" s="44"/>
      <c r="V172" s="44"/>
      <c r="W172" s="34"/>
    </row>
    <row r="173" spans="1:23" ht="30" customHeight="1">
      <c r="A173" s="10" t="s">
        <v>1066</v>
      </c>
      <c r="B173" s="1179" t="s">
        <v>2585</v>
      </c>
      <c r="C173" s="1180"/>
      <c r="D173" s="1181"/>
      <c r="E173" s="475">
        <v>40.5</v>
      </c>
      <c r="F173" s="1007" t="s">
        <v>8</v>
      </c>
      <c r="G173" s="395">
        <f>288/H164</f>
        <v>4.1927500363953998E-2</v>
      </c>
      <c r="H173" s="1005" t="s">
        <v>479</v>
      </c>
      <c r="I173" s="1012">
        <v>1.05</v>
      </c>
      <c r="J173" s="20"/>
      <c r="K173" s="1013">
        <f>E173*G173*I173</f>
        <v>1.7829669529771437</v>
      </c>
      <c r="L173" s="473" t="s">
        <v>8</v>
      </c>
      <c r="M173" s="1146"/>
      <c r="N173" s="282"/>
      <c r="R173" s="34"/>
      <c r="S173" s="34"/>
      <c r="T173" s="34"/>
      <c r="U173" s="44"/>
      <c r="V173" s="44"/>
      <c r="W173" s="34"/>
    </row>
    <row r="174" spans="1:23" ht="30" customHeight="1">
      <c r="A174" s="10" t="s">
        <v>377</v>
      </c>
      <c r="B174" s="1182" t="s">
        <v>384</v>
      </c>
      <c r="C174" s="1183"/>
      <c r="D174" s="1184"/>
      <c r="E174" s="115">
        <v>4.17</v>
      </c>
      <c r="F174" s="10" t="s">
        <v>8</v>
      </c>
      <c r="G174" s="221"/>
      <c r="H174" s="121"/>
      <c r="I174" s="10">
        <v>1.05</v>
      </c>
      <c r="J174" s="10"/>
      <c r="K174" s="115">
        <f>+E174*I174</f>
        <v>4.3784999999999998</v>
      </c>
      <c r="L174" s="10" t="s">
        <v>8</v>
      </c>
      <c r="M174" s="1146"/>
      <c r="N174" s="282"/>
      <c r="R174" s="34"/>
      <c r="S174" s="34"/>
      <c r="T174" s="34"/>
      <c r="U174" s="44"/>
      <c r="V174" s="44"/>
      <c r="W174" s="34"/>
    </row>
    <row r="175" spans="1:23" ht="30" customHeight="1">
      <c r="A175" s="10"/>
      <c r="B175" s="222"/>
      <c r="C175" s="222"/>
      <c r="D175" s="222"/>
      <c r="E175" s="115"/>
      <c r="F175" s="10"/>
      <c r="G175" s="10"/>
      <c r="H175" s="10"/>
      <c r="I175" s="10"/>
      <c r="J175" s="10" t="s">
        <v>379</v>
      </c>
      <c r="K175" s="115">
        <f>SUM(K166:K174)</f>
        <v>90.037280026204698</v>
      </c>
      <c r="L175" s="10" t="s">
        <v>8</v>
      </c>
      <c r="M175" s="1146"/>
      <c r="N175" s="962"/>
      <c r="R175" s="34"/>
      <c r="S175" s="34"/>
      <c r="T175" s="34"/>
      <c r="U175" s="44"/>
      <c r="V175" s="44"/>
      <c r="W175" s="34"/>
    </row>
    <row r="176" spans="1:23" ht="30" customHeight="1">
      <c r="A176" s="10"/>
      <c r="B176" s="222"/>
      <c r="C176" s="222"/>
      <c r="D176" s="222"/>
      <c r="E176" s="115"/>
      <c r="F176" s="1174" t="s">
        <v>308</v>
      </c>
      <c r="G176" s="1208" t="s">
        <v>309</v>
      </c>
      <c r="H176" s="1208"/>
      <c r="I176" s="1208"/>
      <c r="J176" s="1208"/>
      <c r="K176" s="123">
        <v>1.08</v>
      </c>
      <c r="L176" s="10"/>
      <c r="M176" s="1146"/>
      <c r="N176" s="282"/>
      <c r="R176" s="34"/>
      <c r="S176" s="34"/>
      <c r="T176" s="34"/>
      <c r="U176" s="44"/>
      <c r="V176" s="44"/>
      <c r="W176" s="34"/>
    </row>
    <row r="177" spans="1:23" ht="30" customHeight="1">
      <c r="A177" s="10"/>
      <c r="B177" s="222"/>
      <c r="C177" s="222"/>
      <c r="D177" s="222"/>
      <c r="E177" s="115"/>
      <c r="F177" s="1175"/>
      <c r="G177" s="1209" t="s">
        <v>310</v>
      </c>
      <c r="H177" s="1209"/>
      <c r="I177" s="1209"/>
      <c r="J177" s="1209"/>
      <c r="K177" s="123">
        <v>1.07</v>
      </c>
      <c r="L177" s="10"/>
      <c r="M177" s="1146"/>
      <c r="N177" s="282"/>
      <c r="R177" s="34"/>
      <c r="S177" s="34"/>
      <c r="T177" s="34"/>
      <c r="U177" s="44"/>
      <c r="V177" s="44"/>
      <c r="W177" s="34"/>
    </row>
    <row r="178" spans="1:23" ht="30" customHeight="1">
      <c r="A178" s="10"/>
      <c r="B178" s="10"/>
      <c r="C178" s="13"/>
      <c r="D178" s="13"/>
      <c r="E178" s="13"/>
      <c r="F178" s="13"/>
      <c r="G178" s="13"/>
      <c r="H178" s="13"/>
      <c r="I178" s="13"/>
      <c r="J178" s="10" t="s">
        <v>289</v>
      </c>
      <c r="K178" s="14">
        <f>+K175*K176/K177</f>
        <v>90.878749932991653</v>
      </c>
      <c r="L178" s="10" t="s">
        <v>8</v>
      </c>
      <c r="M178" s="1146"/>
      <c r="P178" s="34"/>
      <c r="Q178" s="34"/>
      <c r="R178" s="34"/>
      <c r="S178" s="44"/>
      <c r="T178" s="44"/>
      <c r="U178" s="34"/>
    </row>
    <row r="179" spans="1:23" s="38" customFormat="1" ht="30" customHeight="1">
      <c r="A179" s="10"/>
      <c r="B179" s="10"/>
      <c r="C179" s="13"/>
      <c r="D179" s="13"/>
      <c r="E179" s="13"/>
      <c r="F179" s="13"/>
      <c r="G179" s="235" t="s">
        <v>385</v>
      </c>
      <c r="H179" s="13"/>
      <c r="I179" s="13"/>
      <c r="J179" s="139">
        <f>VLOOKUP(B164,'Mil Cost Premiums for RUCs'!$A$4:$R$266,18,FALSE)</f>
        <v>1.2551763558420395</v>
      </c>
      <c r="K179" s="14">
        <f>+K178*J179</f>
        <v>114.06885816437246</v>
      </c>
      <c r="L179" s="10" t="s">
        <v>8</v>
      </c>
      <c r="M179" s="1146"/>
      <c r="N179" s="193"/>
      <c r="O179" s="1119"/>
      <c r="P179" s="39"/>
      <c r="Q179" s="39"/>
      <c r="R179" s="39"/>
      <c r="S179" s="39"/>
      <c r="T179" s="39"/>
      <c r="U179" s="39"/>
    </row>
    <row r="180" spans="1:23" ht="60" customHeight="1">
      <c r="A180" s="1340" t="s">
        <v>313</v>
      </c>
      <c r="B180" s="1340"/>
      <c r="C180" s="1340"/>
      <c r="D180" s="1340"/>
      <c r="E180" s="1340"/>
      <c r="F180" s="1340"/>
      <c r="G180" s="1340"/>
      <c r="H180" s="1340"/>
      <c r="I180" s="1340"/>
      <c r="J180" s="1340"/>
      <c r="K180" s="1340"/>
      <c r="L180" s="1340"/>
      <c r="M180" s="1146"/>
      <c r="P180" s="34"/>
      <c r="Q180" s="34"/>
      <c r="R180" s="34"/>
      <c r="S180" s="34"/>
      <c r="T180" s="34"/>
      <c r="U180" s="34"/>
    </row>
    <row r="181" spans="1:23" ht="30" customHeight="1">
      <c r="A181" s="1248" t="s">
        <v>314</v>
      </c>
      <c r="B181" s="1274"/>
      <c r="C181" s="1334"/>
      <c r="D181" s="1335" t="s">
        <v>404</v>
      </c>
      <c r="E181" s="1335"/>
      <c r="F181" s="1335"/>
      <c r="G181" s="1335"/>
      <c r="H181" s="1335"/>
      <c r="I181" s="1335"/>
      <c r="J181" s="1335"/>
      <c r="K181" s="1335"/>
      <c r="L181" s="1335"/>
      <c r="M181" s="1146"/>
      <c r="P181" s="34"/>
      <c r="Q181" s="34"/>
      <c r="R181" s="34"/>
      <c r="S181" s="34"/>
      <c r="T181" s="34"/>
      <c r="U181" s="34"/>
    </row>
    <row r="182" spans="1:23" ht="30" customHeight="1">
      <c r="A182" s="1248" t="s">
        <v>316</v>
      </c>
      <c r="B182" s="1274"/>
      <c r="C182" s="1334"/>
      <c r="D182" s="1335" t="s">
        <v>405</v>
      </c>
      <c r="E182" s="1335"/>
      <c r="F182" s="1335"/>
      <c r="G182" s="1335"/>
      <c r="H182" s="1335"/>
      <c r="I182" s="1335"/>
      <c r="J182" s="1335"/>
      <c r="K182" s="1335"/>
      <c r="L182" s="1335"/>
      <c r="M182" s="1146"/>
      <c r="P182" s="34"/>
      <c r="Q182" s="34"/>
      <c r="R182" s="34"/>
      <c r="S182" s="34"/>
      <c r="T182" s="34"/>
      <c r="U182" s="34"/>
    </row>
    <row r="183" spans="1:23" ht="30" customHeight="1">
      <c r="A183" s="1248" t="s">
        <v>317</v>
      </c>
      <c r="B183" s="1274"/>
      <c r="C183" s="1334"/>
      <c r="D183" s="1336" t="s">
        <v>2566</v>
      </c>
      <c r="E183" s="1315"/>
      <c r="F183" s="1315"/>
      <c r="G183" s="1315"/>
      <c r="H183" s="1315"/>
      <c r="I183" s="1315"/>
      <c r="J183" s="1315"/>
      <c r="K183" s="1315"/>
      <c r="L183" s="1316"/>
      <c r="M183" s="1146"/>
      <c r="P183" s="34"/>
      <c r="Q183" s="34"/>
      <c r="R183" s="34"/>
      <c r="S183" s="34"/>
      <c r="T183" s="34"/>
      <c r="U183" s="34"/>
    </row>
    <row r="184" spans="1:23" ht="30" customHeight="1">
      <c r="A184" s="1248" t="s">
        <v>318</v>
      </c>
      <c r="B184" s="1274"/>
      <c r="C184" s="1334"/>
      <c r="D184" s="1337" t="s">
        <v>2882</v>
      </c>
      <c r="E184" s="1338"/>
      <c r="F184" s="1338"/>
      <c r="G184" s="1338"/>
      <c r="H184" s="1338"/>
      <c r="I184" s="1338"/>
      <c r="J184" s="1338"/>
      <c r="K184" s="1338"/>
      <c r="L184" s="1339"/>
      <c r="M184" s="1146"/>
      <c r="N184" s="961"/>
      <c r="R184" s="34"/>
      <c r="S184" s="34"/>
      <c r="T184" s="34"/>
      <c r="U184" s="44"/>
      <c r="V184" s="44"/>
      <c r="W184" s="34"/>
    </row>
    <row r="185" spans="1:23" ht="30" customHeight="1">
      <c r="A185" s="1248" t="s">
        <v>320</v>
      </c>
      <c r="B185" s="1274"/>
      <c r="C185" s="1334"/>
      <c r="D185" s="1337" t="s">
        <v>406</v>
      </c>
      <c r="E185" s="1338"/>
      <c r="F185" s="1338"/>
      <c r="G185" s="1338"/>
      <c r="H185" s="1338"/>
      <c r="I185" s="1338"/>
      <c r="J185" s="1338"/>
      <c r="K185" s="1338"/>
      <c r="L185" s="1339"/>
      <c r="M185" s="1146"/>
      <c r="N185" s="282"/>
      <c r="R185" s="34"/>
      <c r="S185" s="34"/>
      <c r="T185" s="34"/>
      <c r="U185" s="44"/>
      <c r="V185" s="44"/>
      <c r="W185" s="34"/>
    </row>
    <row r="186" spans="1:23" ht="30" customHeight="1">
      <c r="A186" s="1248" t="s">
        <v>322</v>
      </c>
      <c r="B186" s="1274"/>
      <c r="C186" s="1334"/>
      <c r="D186" s="1337" t="s">
        <v>407</v>
      </c>
      <c r="E186" s="1338"/>
      <c r="F186" s="1338"/>
      <c r="G186" s="1338"/>
      <c r="H186" s="1338"/>
      <c r="I186" s="1338"/>
      <c r="J186" s="1338"/>
      <c r="K186" s="1338"/>
      <c r="L186" s="1339"/>
      <c r="M186" s="1146"/>
      <c r="N186" s="282"/>
      <c r="R186" s="34"/>
      <c r="S186" s="34"/>
      <c r="T186" s="34"/>
      <c r="U186" s="44"/>
      <c r="V186" s="44"/>
      <c r="W186" s="34"/>
    </row>
    <row r="187" spans="1:23" ht="30" customHeight="1">
      <c r="A187" s="1248" t="s">
        <v>324</v>
      </c>
      <c r="B187" s="1274"/>
      <c r="C187" s="1334"/>
      <c r="D187" s="1337" t="s">
        <v>408</v>
      </c>
      <c r="E187" s="1338"/>
      <c r="F187" s="1338"/>
      <c r="G187" s="1338"/>
      <c r="H187" s="1338"/>
      <c r="I187" s="1338"/>
      <c r="J187" s="1338"/>
      <c r="K187" s="1338"/>
      <c r="L187" s="1339"/>
      <c r="M187" s="1146"/>
      <c r="N187" s="282"/>
      <c r="R187" s="34"/>
      <c r="S187" s="34"/>
      <c r="T187" s="34"/>
      <c r="U187" s="44"/>
      <c r="V187" s="44"/>
      <c r="W187" s="34"/>
    </row>
    <row r="188" spans="1:23" ht="75" customHeight="1">
      <c r="A188" s="1254" t="s">
        <v>325</v>
      </c>
      <c r="B188" s="1297"/>
      <c r="C188" s="1297"/>
      <c r="D188" s="1341" t="s">
        <v>391</v>
      </c>
      <c r="E188" s="1342"/>
      <c r="F188" s="1342"/>
      <c r="G188" s="1342"/>
      <c r="H188" s="1342"/>
      <c r="I188" s="1342"/>
      <c r="J188" s="1342"/>
      <c r="K188" s="1342"/>
      <c r="L188" s="1342"/>
      <c r="M188" s="1146"/>
      <c r="N188" s="282"/>
      <c r="R188" s="34"/>
      <c r="S188" s="34"/>
      <c r="T188" s="34"/>
      <c r="U188" s="44"/>
      <c r="V188" s="44"/>
      <c r="W188" s="34"/>
    </row>
    <row r="189" spans="1:23" ht="75" customHeight="1" thickBot="1">
      <c r="A189" s="1343" t="s">
        <v>327</v>
      </c>
      <c r="B189" s="1344"/>
      <c r="C189" s="1345"/>
      <c r="D189" s="1337" t="s">
        <v>2567</v>
      </c>
      <c r="E189" s="1338"/>
      <c r="F189" s="1338"/>
      <c r="G189" s="1338"/>
      <c r="H189" s="1338"/>
      <c r="I189" s="1338"/>
      <c r="J189" s="1338"/>
      <c r="K189" s="1338"/>
      <c r="L189" s="1339"/>
      <c r="M189" s="1146"/>
      <c r="N189" s="282"/>
      <c r="R189" s="34"/>
      <c r="S189" s="34"/>
      <c r="T189" s="34"/>
      <c r="U189" s="44"/>
      <c r="V189" s="44"/>
      <c r="W189" s="34"/>
    </row>
    <row r="190" spans="1:23" ht="30" customHeight="1" thickBot="1">
      <c r="A190" s="1165"/>
      <c r="B190" s="1166"/>
      <c r="C190" s="1166"/>
      <c r="D190" s="1166"/>
      <c r="E190" s="1166"/>
      <c r="F190" s="1166"/>
      <c r="G190" s="1166"/>
      <c r="H190" s="1166"/>
      <c r="I190" s="1166"/>
      <c r="J190" s="1166"/>
      <c r="K190" s="1166"/>
      <c r="L190" s="1167"/>
      <c r="M190" s="1146"/>
      <c r="N190" s="282"/>
      <c r="R190" s="34"/>
      <c r="S190" s="34"/>
      <c r="T190" s="34"/>
      <c r="U190" s="44"/>
      <c r="V190" s="44"/>
      <c r="W190" s="34"/>
    </row>
    <row r="191" spans="1:23" ht="30" customHeight="1">
      <c r="A191" s="81" t="s">
        <v>280</v>
      </c>
      <c r="B191" s="82">
        <v>1444</v>
      </c>
      <c r="C191" s="1228" t="s">
        <v>409</v>
      </c>
      <c r="D191" s="1229"/>
      <c r="E191" s="74" t="s">
        <v>282</v>
      </c>
      <c r="F191" s="75" t="s">
        <v>8</v>
      </c>
      <c r="G191" s="58" t="s">
        <v>290</v>
      </c>
      <c r="H191" s="104">
        <v>4631</v>
      </c>
      <c r="I191" s="74" t="s">
        <v>283</v>
      </c>
      <c r="J191" s="1199" t="s">
        <v>2547</v>
      </c>
      <c r="K191" s="1230"/>
      <c r="L191" s="1231"/>
      <c r="M191" s="1146"/>
      <c r="O191" s="42"/>
      <c r="P191" s="34"/>
      <c r="Q191" s="34"/>
      <c r="R191" s="34"/>
      <c r="S191" s="44"/>
      <c r="T191" s="44"/>
      <c r="U191" s="34"/>
    </row>
    <row r="192" spans="1:23" ht="30" customHeight="1">
      <c r="A192" s="77" t="s">
        <v>293</v>
      </c>
      <c r="B192" s="1232" t="s">
        <v>284</v>
      </c>
      <c r="C192" s="1232"/>
      <c r="D192" s="1232"/>
      <c r="E192" s="78" t="s">
        <v>294</v>
      </c>
      <c r="F192" s="96" t="s">
        <v>295</v>
      </c>
      <c r="G192" s="77"/>
      <c r="H192" s="77"/>
      <c r="I192" s="1233" t="s">
        <v>426</v>
      </c>
      <c r="J192" s="1234"/>
      <c r="K192" s="1206" t="s">
        <v>297</v>
      </c>
      <c r="L192" s="1207"/>
      <c r="M192" s="1146"/>
      <c r="N192" s="34"/>
      <c r="P192" s="34"/>
      <c r="Q192" s="34"/>
      <c r="R192" s="34"/>
      <c r="S192" s="44"/>
      <c r="T192" s="44"/>
      <c r="U192" s="34"/>
    </row>
    <row r="193" spans="1:23" ht="30" customHeight="1">
      <c r="A193" s="97" t="s">
        <v>298</v>
      </c>
      <c r="B193" s="1222" t="s">
        <v>410</v>
      </c>
      <c r="C193" s="1222"/>
      <c r="D193" s="1222"/>
      <c r="E193" s="98">
        <v>33000</v>
      </c>
      <c r="F193" s="99">
        <v>374</v>
      </c>
      <c r="G193" s="100"/>
      <c r="H193" s="101"/>
      <c r="I193" s="1192" t="s">
        <v>2562</v>
      </c>
      <c r="J193" s="1193"/>
      <c r="K193" s="99">
        <f>+F193</f>
        <v>374</v>
      </c>
      <c r="L193" s="97" t="s">
        <v>8</v>
      </c>
      <c r="M193" s="1146"/>
      <c r="P193" s="34"/>
      <c r="Q193" s="34"/>
      <c r="R193" s="34"/>
      <c r="S193" s="44"/>
      <c r="T193" s="44"/>
      <c r="U193" s="34"/>
    </row>
    <row r="194" spans="1:23" ht="30" customHeight="1" thickBot="1">
      <c r="A194" s="20"/>
      <c r="B194" s="1224"/>
      <c r="C194" s="1224"/>
      <c r="D194" s="1224"/>
      <c r="E194" s="1225"/>
      <c r="F194" s="1226"/>
      <c r="G194" s="1226"/>
      <c r="H194" s="1227"/>
      <c r="I194" s="18"/>
      <c r="J194" s="57" t="s">
        <v>289</v>
      </c>
      <c r="K194" s="103">
        <f>+K193</f>
        <v>374</v>
      </c>
      <c r="L194" s="20" t="s">
        <v>8</v>
      </c>
      <c r="M194" s="1146"/>
      <c r="P194" s="34"/>
      <c r="Q194" s="34"/>
      <c r="R194" s="34"/>
      <c r="S194" s="44"/>
      <c r="T194" s="44"/>
      <c r="U194" s="34"/>
    </row>
    <row r="195" spans="1:23" ht="30" customHeight="1" thickBot="1">
      <c r="A195" s="1165"/>
      <c r="B195" s="1166"/>
      <c r="C195" s="1166"/>
      <c r="D195" s="1166"/>
      <c r="E195" s="1166"/>
      <c r="F195" s="1166"/>
      <c r="G195" s="1166"/>
      <c r="H195" s="1166"/>
      <c r="I195" s="1166"/>
      <c r="J195" s="1166"/>
      <c r="K195" s="1166"/>
      <c r="L195" s="1167"/>
      <c r="M195" s="1146"/>
      <c r="P195" s="34"/>
      <c r="Q195" s="34"/>
      <c r="R195" s="34"/>
      <c r="S195" s="44"/>
      <c r="T195" s="44"/>
      <c r="U195" s="34"/>
    </row>
    <row r="196" spans="1:23" ht="30" customHeight="1">
      <c r="A196" s="81" t="s">
        <v>280</v>
      </c>
      <c r="B196" s="82">
        <v>1445</v>
      </c>
      <c r="C196" s="1228" t="s">
        <v>411</v>
      </c>
      <c r="D196" s="1229"/>
      <c r="E196" s="74" t="s">
        <v>282</v>
      </c>
      <c r="F196" s="75" t="s">
        <v>8</v>
      </c>
      <c r="G196" s="58" t="s">
        <v>290</v>
      </c>
      <c r="H196" s="104">
        <v>3327</v>
      </c>
      <c r="I196" s="74" t="s">
        <v>283</v>
      </c>
      <c r="J196" s="1199" t="s">
        <v>2569</v>
      </c>
      <c r="K196" s="1230"/>
      <c r="L196" s="1231"/>
      <c r="M196" s="1146"/>
      <c r="P196" s="34"/>
      <c r="Q196" s="34"/>
      <c r="R196" s="34"/>
      <c r="S196" s="44"/>
      <c r="T196" s="44"/>
      <c r="U196" s="34"/>
    </row>
    <row r="197" spans="1:23" s="38" customFormat="1" ht="30" customHeight="1">
      <c r="A197" s="77" t="s">
        <v>293</v>
      </c>
      <c r="B197" s="1232" t="s">
        <v>284</v>
      </c>
      <c r="C197" s="1232"/>
      <c r="D197" s="1232"/>
      <c r="E197" s="78" t="s">
        <v>294</v>
      </c>
      <c r="F197" s="96" t="s">
        <v>295</v>
      </c>
      <c r="G197" s="77"/>
      <c r="H197" s="77"/>
      <c r="I197" s="1233" t="s">
        <v>426</v>
      </c>
      <c r="J197" s="1234"/>
      <c r="K197" s="1206" t="s">
        <v>297</v>
      </c>
      <c r="L197" s="1207"/>
      <c r="M197" s="1146"/>
      <c r="N197" s="193"/>
      <c r="O197" s="1119"/>
      <c r="P197" s="39"/>
      <c r="Q197" s="39"/>
      <c r="R197" s="39"/>
      <c r="S197" s="84"/>
      <c r="T197" s="84"/>
      <c r="U197" s="39"/>
    </row>
    <row r="198" spans="1:23" ht="30" customHeight="1">
      <c r="A198" s="20">
        <v>14126</v>
      </c>
      <c r="B198" s="1179" t="s">
        <v>412</v>
      </c>
      <c r="C198" s="1180"/>
      <c r="D198" s="1181"/>
      <c r="E198" s="98">
        <v>2770</v>
      </c>
      <c r="F198" s="105">
        <v>482</v>
      </c>
      <c r="G198" s="100"/>
      <c r="H198" s="101"/>
      <c r="I198" s="1192">
        <f>+'2019 MILCON Inflation Table'!F18</f>
        <v>0.94232233454704462</v>
      </c>
      <c r="J198" s="1193"/>
      <c r="K198" s="106">
        <f>+F198*I198</f>
        <v>454.19936525167549</v>
      </c>
      <c r="L198" s="97" t="s">
        <v>8</v>
      </c>
      <c r="M198" s="1146"/>
      <c r="P198" s="34"/>
      <c r="Q198" s="34"/>
      <c r="R198" s="34"/>
      <c r="S198" s="44"/>
      <c r="T198" s="44"/>
      <c r="U198" s="34"/>
    </row>
    <row r="199" spans="1:23" ht="30" customHeight="1" thickBot="1">
      <c r="A199" s="20"/>
      <c r="B199" s="1224"/>
      <c r="C199" s="1224"/>
      <c r="D199" s="1224"/>
      <c r="E199" s="236"/>
      <c r="F199" s="237"/>
      <c r="G199" s="237"/>
      <c r="H199" s="238"/>
      <c r="I199" s="18"/>
      <c r="J199" s="57" t="s">
        <v>289</v>
      </c>
      <c r="K199" s="107">
        <f>+K198</f>
        <v>454.19936525167549</v>
      </c>
      <c r="L199" s="20" t="s">
        <v>8</v>
      </c>
      <c r="M199" s="1146"/>
      <c r="P199" s="34"/>
      <c r="Q199" s="34"/>
      <c r="R199" s="34"/>
      <c r="S199" s="44"/>
      <c r="T199" s="44"/>
      <c r="U199" s="34"/>
    </row>
    <row r="200" spans="1:23" ht="30" customHeight="1" thickBot="1">
      <c r="A200" s="1165"/>
      <c r="B200" s="1166"/>
      <c r="C200" s="1166"/>
      <c r="D200" s="1166"/>
      <c r="E200" s="1166"/>
      <c r="F200" s="1166"/>
      <c r="G200" s="1166"/>
      <c r="H200" s="1166"/>
      <c r="I200" s="1166"/>
      <c r="J200" s="1166"/>
      <c r="K200" s="1166"/>
      <c r="L200" s="1167"/>
      <c r="M200" s="1146"/>
      <c r="N200" s="282"/>
      <c r="R200" s="34"/>
      <c r="S200" s="34"/>
      <c r="T200" s="34"/>
      <c r="U200" s="44"/>
      <c r="V200" s="44"/>
      <c r="W200" s="34"/>
    </row>
    <row r="201" spans="1:23" ht="30" customHeight="1">
      <c r="A201" s="162" t="s">
        <v>280</v>
      </c>
      <c r="B201" s="163">
        <v>1446</v>
      </c>
      <c r="C201" s="1290" t="s">
        <v>413</v>
      </c>
      <c r="D201" s="1291"/>
      <c r="E201" s="216" t="s">
        <v>282</v>
      </c>
      <c r="F201" s="217" t="s">
        <v>8</v>
      </c>
      <c r="G201" s="58" t="s">
        <v>290</v>
      </c>
      <c r="H201" s="218">
        <v>12474</v>
      </c>
      <c r="I201" s="216" t="s">
        <v>283</v>
      </c>
      <c r="J201" s="1310" t="s">
        <v>2527</v>
      </c>
      <c r="K201" s="1310"/>
      <c r="L201" s="1311"/>
      <c r="M201" s="1146"/>
      <c r="P201" s="34"/>
      <c r="Q201" s="34"/>
      <c r="R201" s="34"/>
      <c r="S201" s="44"/>
      <c r="T201" s="44"/>
      <c r="U201" s="34"/>
    </row>
    <row r="202" spans="1:23" ht="30" customHeight="1">
      <c r="A202" s="165" t="s">
        <v>304</v>
      </c>
      <c r="B202" s="1324" t="s">
        <v>330</v>
      </c>
      <c r="C202" s="1325"/>
      <c r="D202" s="1326"/>
      <c r="E202" s="219" t="s">
        <v>295</v>
      </c>
      <c r="F202" s="219" t="s">
        <v>331</v>
      </c>
      <c r="G202" s="1327" t="s">
        <v>332</v>
      </c>
      <c r="H202" s="1328"/>
      <c r="I202" s="220" t="s">
        <v>305</v>
      </c>
      <c r="J202" s="220"/>
      <c r="K202" s="1206" t="s">
        <v>297</v>
      </c>
      <c r="L202" s="1207"/>
      <c r="M202" s="1146"/>
      <c r="N202" s="963"/>
      <c r="P202" s="34"/>
      <c r="Q202" s="34"/>
      <c r="R202" s="34"/>
      <c r="S202" s="44"/>
      <c r="T202" s="44"/>
      <c r="U202" s="34"/>
    </row>
    <row r="203" spans="1:23" ht="30" customHeight="1">
      <c r="A203" s="10" t="s">
        <v>414</v>
      </c>
      <c r="B203" s="1182" t="s">
        <v>415</v>
      </c>
      <c r="C203" s="1183"/>
      <c r="D203" s="1184"/>
      <c r="E203" s="115">
        <v>166</v>
      </c>
      <c r="F203" s="10" t="s">
        <v>8</v>
      </c>
      <c r="G203" s="221"/>
      <c r="H203" s="121"/>
      <c r="I203" s="10">
        <v>1.04</v>
      </c>
      <c r="J203" s="10"/>
      <c r="K203" s="115">
        <f>+E203*I203</f>
        <v>172.64000000000001</v>
      </c>
      <c r="L203" s="10" t="s">
        <v>8</v>
      </c>
      <c r="M203" s="1146"/>
      <c r="P203" s="34"/>
      <c r="Q203" s="34"/>
      <c r="R203" s="34"/>
      <c r="S203" s="44"/>
      <c r="T203" s="44"/>
      <c r="U203" s="34"/>
    </row>
    <row r="204" spans="1:23" ht="30" customHeight="1">
      <c r="A204" s="10" t="s">
        <v>416</v>
      </c>
      <c r="B204" s="1182" t="s">
        <v>417</v>
      </c>
      <c r="C204" s="1183"/>
      <c r="D204" s="1184"/>
      <c r="E204" s="115">
        <v>55000</v>
      </c>
      <c r="F204" s="10" t="s">
        <v>10</v>
      </c>
      <c r="G204" s="239">
        <f>E204/H201</f>
        <v>4.4091710758377429</v>
      </c>
      <c r="H204" s="121" t="s">
        <v>8</v>
      </c>
      <c r="I204" s="10">
        <v>1.04</v>
      </c>
      <c r="J204" s="10"/>
      <c r="K204" s="115">
        <f>G204*I204</f>
        <v>4.5855379188712524</v>
      </c>
      <c r="L204" s="10" t="s">
        <v>8</v>
      </c>
      <c r="M204" s="1146"/>
      <c r="O204" s="42"/>
    </row>
    <row r="205" spans="1:23" ht="30" customHeight="1">
      <c r="A205" s="10" t="s">
        <v>418</v>
      </c>
      <c r="B205" s="1182" t="s">
        <v>419</v>
      </c>
      <c r="C205" s="1183"/>
      <c r="D205" s="1184"/>
      <c r="E205" s="115">
        <v>3.55</v>
      </c>
      <c r="F205" s="10" t="s">
        <v>8</v>
      </c>
      <c r="G205" s="221"/>
      <c r="H205" s="121"/>
      <c r="I205" s="10">
        <v>1.04</v>
      </c>
      <c r="J205" s="10"/>
      <c r="K205" s="115">
        <f>+E205*I205</f>
        <v>3.6919999999999997</v>
      </c>
      <c r="L205" s="10" t="s">
        <v>8</v>
      </c>
      <c r="M205" s="1146"/>
    </row>
    <row r="206" spans="1:23" ht="30" customHeight="1">
      <c r="A206" s="10"/>
      <c r="B206" s="1329"/>
      <c r="C206" s="1329"/>
      <c r="D206" s="1329"/>
      <c r="E206" s="115"/>
      <c r="F206" s="10"/>
      <c r="G206" s="10"/>
      <c r="H206" s="10"/>
      <c r="I206" s="10"/>
      <c r="J206" s="10" t="s">
        <v>379</v>
      </c>
      <c r="K206" s="115">
        <f>SUM(K203:K205)</f>
        <v>180.91753791887126</v>
      </c>
      <c r="L206" s="10" t="s">
        <v>8</v>
      </c>
      <c r="M206" s="1146"/>
      <c r="P206" s="34"/>
      <c r="Q206" s="34"/>
      <c r="R206" s="34"/>
      <c r="S206" s="44"/>
      <c r="T206" s="44"/>
      <c r="U206" s="34"/>
    </row>
    <row r="207" spans="1:23" s="38" customFormat="1" ht="30" customHeight="1">
      <c r="A207" s="10"/>
      <c r="B207" s="222"/>
      <c r="C207" s="222"/>
      <c r="D207" s="222"/>
      <c r="E207" s="115"/>
      <c r="F207" s="1174" t="s">
        <v>308</v>
      </c>
      <c r="G207" s="1208" t="s">
        <v>309</v>
      </c>
      <c r="H207" s="1208"/>
      <c r="I207" s="1208"/>
      <c r="J207" s="1208"/>
      <c r="K207" s="123">
        <v>1.08</v>
      </c>
      <c r="L207" s="10"/>
      <c r="M207" s="1146"/>
      <c r="N207" s="193"/>
      <c r="O207" s="1119"/>
      <c r="P207" s="39"/>
      <c r="Q207" s="39"/>
      <c r="R207" s="39"/>
      <c r="S207" s="39"/>
      <c r="T207" s="39"/>
      <c r="U207" s="39"/>
    </row>
    <row r="208" spans="1:23" ht="30" customHeight="1">
      <c r="A208" s="10"/>
      <c r="B208" s="222"/>
      <c r="C208" s="222"/>
      <c r="D208" s="222"/>
      <c r="E208" s="115"/>
      <c r="F208" s="1175"/>
      <c r="G208" s="1209" t="s">
        <v>310</v>
      </c>
      <c r="H208" s="1209"/>
      <c r="I208" s="1209"/>
      <c r="J208" s="1209"/>
      <c r="K208" s="123">
        <v>1.07</v>
      </c>
      <c r="L208" s="10"/>
      <c r="M208" s="1146"/>
      <c r="P208" s="34"/>
      <c r="Q208" s="34"/>
      <c r="R208" s="34"/>
      <c r="S208" s="34"/>
      <c r="T208" s="34"/>
      <c r="U208" s="34"/>
    </row>
    <row r="209" spans="1:23" ht="30" customHeight="1">
      <c r="A209" s="10"/>
      <c r="B209" s="10"/>
      <c r="C209" s="13"/>
      <c r="D209" s="13"/>
      <c r="E209" s="13"/>
      <c r="F209" s="13"/>
      <c r="G209" s="13"/>
      <c r="H209" s="13"/>
      <c r="I209" s="13"/>
      <c r="J209" s="10" t="s">
        <v>289</v>
      </c>
      <c r="K209" s="14">
        <f>+K206*K207/K208</f>
        <v>182.6083560302626</v>
      </c>
      <c r="L209" s="10" t="s">
        <v>8</v>
      </c>
      <c r="M209" s="1146"/>
      <c r="P209" s="34"/>
      <c r="Q209" s="34"/>
      <c r="R209" s="34"/>
      <c r="S209" s="34"/>
      <c r="T209" s="34"/>
      <c r="U209" s="34"/>
    </row>
    <row r="210" spans="1:23" ht="30" customHeight="1">
      <c r="A210" s="10"/>
      <c r="B210" s="10"/>
      <c r="C210" s="13"/>
      <c r="D210" s="13"/>
      <c r="E210" s="13"/>
      <c r="F210" s="13"/>
      <c r="G210" s="235" t="s">
        <v>385</v>
      </c>
      <c r="H210" s="13"/>
      <c r="I210" s="13"/>
      <c r="J210" s="139">
        <f>VLOOKUP(B201,'Mil Cost Premiums for RUCs'!$A$4:$R$266,18,FALSE)</f>
        <v>1.3279641928993471</v>
      </c>
      <c r="K210" s="14">
        <f>+K209*J210</f>
        <v>242.49735813240429</v>
      </c>
      <c r="L210" s="10" t="s">
        <v>8</v>
      </c>
      <c r="M210" s="1146"/>
      <c r="P210" s="34"/>
      <c r="Q210" s="34"/>
      <c r="R210" s="34"/>
      <c r="S210" s="34"/>
      <c r="T210" s="34"/>
      <c r="U210" s="34"/>
    </row>
    <row r="211" spans="1:23" ht="60" customHeight="1">
      <c r="A211" s="1337" t="s">
        <v>313</v>
      </c>
      <c r="B211" s="1338"/>
      <c r="C211" s="1338"/>
      <c r="D211" s="1338"/>
      <c r="E211" s="1338"/>
      <c r="F211" s="1338"/>
      <c r="G211" s="1338"/>
      <c r="H211" s="1338"/>
      <c r="I211" s="1338"/>
      <c r="J211" s="1338"/>
      <c r="K211" s="1338"/>
      <c r="L211" s="1339"/>
      <c r="M211" s="1146"/>
      <c r="P211" s="34"/>
      <c r="Q211" s="34"/>
      <c r="R211" s="34"/>
      <c r="S211" s="34"/>
      <c r="T211" s="34"/>
      <c r="U211" s="34"/>
    </row>
    <row r="212" spans="1:23" ht="30" customHeight="1">
      <c r="A212" s="1248" t="s">
        <v>314</v>
      </c>
      <c r="B212" s="1274"/>
      <c r="C212" s="1274"/>
      <c r="D212" s="1331" t="s">
        <v>420</v>
      </c>
      <c r="E212" s="1346"/>
      <c r="F212" s="1346"/>
      <c r="G212" s="1346"/>
      <c r="H212" s="1346"/>
      <c r="I212" s="1346"/>
      <c r="J212" s="1346"/>
      <c r="K212" s="1346"/>
      <c r="L212" s="1347"/>
      <c r="M212" s="1146"/>
      <c r="N212" s="961"/>
      <c r="R212" s="34"/>
      <c r="S212" s="34"/>
      <c r="T212" s="34"/>
      <c r="U212" s="44"/>
      <c r="V212" s="44"/>
      <c r="W212" s="34"/>
    </row>
    <row r="213" spans="1:23" ht="30" customHeight="1">
      <c r="A213" s="1248" t="s">
        <v>316</v>
      </c>
      <c r="B213" s="1274"/>
      <c r="C213" s="1274"/>
      <c r="D213" s="1270" t="s">
        <v>421</v>
      </c>
      <c r="E213" s="1346"/>
      <c r="F213" s="1346"/>
      <c r="G213" s="1346"/>
      <c r="H213" s="1346"/>
      <c r="I213" s="1346"/>
      <c r="J213" s="1346"/>
      <c r="K213" s="1346"/>
      <c r="L213" s="1347"/>
      <c r="M213" s="1146"/>
      <c r="N213" s="282"/>
      <c r="R213" s="34"/>
      <c r="S213" s="34"/>
      <c r="T213" s="34"/>
      <c r="U213" s="44"/>
      <c r="V213" s="44"/>
      <c r="W213" s="34"/>
    </row>
    <row r="214" spans="1:23" ht="30" customHeight="1">
      <c r="A214" s="1248" t="s">
        <v>317</v>
      </c>
      <c r="B214" s="1274"/>
      <c r="C214" s="1274"/>
      <c r="D214" s="1270" t="s">
        <v>2568</v>
      </c>
      <c r="E214" s="1259"/>
      <c r="F214" s="1259"/>
      <c r="G214" s="1259"/>
      <c r="H214" s="1259"/>
      <c r="I214" s="1259"/>
      <c r="J214" s="1259"/>
      <c r="K214" s="1259"/>
      <c r="L214" s="1260"/>
      <c r="M214" s="1146"/>
      <c r="N214" s="282"/>
      <c r="R214" s="34"/>
      <c r="S214" s="34"/>
      <c r="T214" s="34"/>
      <c r="U214" s="44"/>
      <c r="V214" s="44"/>
      <c r="W214" s="34"/>
    </row>
    <row r="215" spans="1:23" ht="30" customHeight="1">
      <c r="A215" s="1248" t="s">
        <v>318</v>
      </c>
      <c r="B215" s="1274"/>
      <c r="C215" s="1274"/>
      <c r="D215" s="1270" t="s">
        <v>422</v>
      </c>
      <c r="E215" s="1346"/>
      <c r="F215" s="1346"/>
      <c r="G215" s="1346"/>
      <c r="H215" s="1346"/>
      <c r="I215" s="1346"/>
      <c r="J215" s="1346"/>
      <c r="K215" s="1346"/>
      <c r="L215" s="1347"/>
      <c r="M215" s="1146"/>
      <c r="N215" s="282"/>
      <c r="R215" s="34"/>
      <c r="S215" s="34"/>
      <c r="T215" s="34"/>
      <c r="U215" s="44"/>
      <c r="V215" s="44"/>
      <c r="W215" s="34"/>
    </row>
    <row r="216" spans="1:23" ht="30" customHeight="1">
      <c r="A216" s="1248" t="s">
        <v>320</v>
      </c>
      <c r="B216" s="1274"/>
      <c r="C216" s="1274"/>
      <c r="D216" s="1270" t="s">
        <v>2593</v>
      </c>
      <c r="E216" s="1259"/>
      <c r="F216" s="1259"/>
      <c r="G216" s="1259"/>
      <c r="H216" s="1259"/>
      <c r="I216" s="1259"/>
      <c r="J216" s="1259"/>
      <c r="K216" s="1259"/>
      <c r="L216" s="1260"/>
      <c r="M216" s="1146"/>
      <c r="N216" s="282"/>
      <c r="R216" s="34"/>
      <c r="S216" s="34"/>
      <c r="T216" s="34"/>
      <c r="U216" s="44"/>
      <c r="V216" s="44"/>
      <c r="W216" s="34"/>
    </row>
    <row r="217" spans="1:23" ht="30" customHeight="1">
      <c r="A217" s="1248" t="s">
        <v>322</v>
      </c>
      <c r="B217" s="1274"/>
      <c r="C217" s="1274"/>
      <c r="D217" s="1331" t="s">
        <v>423</v>
      </c>
      <c r="E217" s="1346"/>
      <c r="F217" s="1346"/>
      <c r="G217" s="1346"/>
      <c r="H217" s="1346"/>
      <c r="I217" s="1346"/>
      <c r="J217" s="1346"/>
      <c r="K217" s="1346"/>
      <c r="L217" s="1347"/>
      <c r="M217" s="1146"/>
      <c r="N217" s="282"/>
      <c r="R217" s="34"/>
      <c r="S217" s="34"/>
      <c r="T217" s="34"/>
      <c r="U217" s="44"/>
      <c r="V217" s="44"/>
      <c r="W217" s="34"/>
    </row>
    <row r="218" spans="1:23" ht="30" customHeight="1">
      <c r="A218" s="1248" t="s">
        <v>324</v>
      </c>
      <c r="B218" s="1274"/>
      <c r="C218" s="1274"/>
      <c r="D218" s="1331" t="s">
        <v>424</v>
      </c>
      <c r="E218" s="1346"/>
      <c r="F218" s="1346"/>
      <c r="G218" s="1346"/>
      <c r="H218" s="1346"/>
      <c r="I218" s="1346"/>
      <c r="J218" s="1346"/>
      <c r="K218" s="1346"/>
      <c r="L218" s="1347"/>
      <c r="M218" s="1146"/>
      <c r="N218" s="282"/>
      <c r="R218" s="34"/>
      <c r="S218" s="34"/>
      <c r="T218" s="34"/>
      <c r="U218" s="44"/>
      <c r="V218" s="44"/>
      <c r="W218" s="34"/>
    </row>
    <row r="219" spans="1:23" ht="75" customHeight="1" thickBot="1">
      <c r="A219" s="1254" t="s">
        <v>325</v>
      </c>
      <c r="B219" s="1297"/>
      <c r="C219" s="1297"/>
      <c r="D219" s="1341" t="s">
        <v>391</v>
      </c>
      <c r="E219" s="1342"/>
      <c r="F219" s="1342"/>
      <c r="G219" s="1342"/>
      <c r="H219" s="1342"/>
      <c r="I219" s="1342"/>
      <c r="J219" s="1342"/>
      <c r="K219" s="1342"/>
      <c r="L219" s="1342"/>
      <c r="M219" s="1146"/>
      <c r="N219" s="282"/>
      <c r="R219" s="34"/>
      <c r="S219" s="34"/>
      <c r="T219" s="34"/>
      <c r="U219" s="44"/>
      <c r="V219" s="44"/>
      <c r="W219" s="34"/>
    </row>
    <row r="220" spans="1:23" ht="30" customHeight="1" thickBot="1">
      <c r="A220" s="1165"/>
      <c r="B220" s="1166"/>
      <c r="C220" s="1166"/>
      <c r="D220" s="1166"/>
      <c r="E220" s="1166"/>
      <c r="F220" s="1166"/>
      <c r="G220" s="1166"/>
      <c r="H220" s="1166"/>
      <c r="I220" s="1166"/>
      <c r="J220" s="1166"/>
      <c r="K220" s="1166"/>
      <c r="L220" s="1167"/>
      <c r="M220" s="1146"/>
      <c r="N220" s="282"/>
      <c r="R220" s="34"/>
      <c r="S220" s="34"/>
      <c r="T220" s="34"/>
      <c r="U220" s="44"/>
      <c r="V220" s="44"/>
      <c r="W220" s="34"/>
    </row>
    <row r="221" spans="1:23" ht="30" customHeight="1">
      <c r="A221" s="81" t="s">
        <v>280</v>
      </c>
      <c r="B221" s="82">
        <v>1458</v>
      </c>
      <c r="C221" s="1228" t="s">
        <v>425</v>
      </c>
      <c r="D221" s="1229"/>
      <c r="E221" s="74" t="s">
        <v>282</v>
      </c>
      <c r="F221" s="75" t="s">
        <v>10</v>
      </c>
      <c r="G221" s="91" t="s">
        <v>281</v>
      </c>
      <c r="H221" s="104">
        <v>1</v>
      </c>
      <c r="I221" s="74" t="s">
        <v>283</v>
      </c>
      <c r="J221" s="1199" t="s">
        <v>2642</v>
      </c>
      <c r="K221" s="1230"/>
      <c r="L221" s="1231"/>
      <c r="M221" s="1146"/>
      <c r="N221" s="282"/>
      <c r="R221" s="34"/>
      <c r="S221" s="34"/>
      <c r="T221" s="34"/>
      <c r="U221" s="44"/>
      <c r="V221" s="44"/>
      <c r="W221" s="34"/>
    </row>
    <row r="222" spans="1:23" ht="30" customHeight="1">
      <c r="A222" s="77" t="s">
        <v>293</v>
      </c>
      <c r="B222" s="1232" t="s">
        <v>284</v>
      </c>
      <c r="C222" s="1232"/>
      <c r="D222" s="1232"/>
      <c r="E222" s="78" t="s">
        <v>294</v>
      </c>
      <c r="F222" s="96" t="s">
        <v>295</v>
      </c>
      <c r="G222" s="77"/>
      <c r="H222" s="77"/>
      <c r="I222" s="1233" t="s">
        <v>426</v>
      </c>
      <c r="J222" s="1234"/>
      <c r="K222" s="1206" t="s">
        <v>297</v>
      </c>
      <c r="L222" s="1207"/>
      <c r="M222" s="1146"/>
      <c r="N222" s="282"/>
      <c r="R222" s="34"/>
      <c r="S222" s="34"/>
      <c r="T222" s="34"/>
      <c r="U222" s="44"/>
      <c r="V222" s="44"/>
      <c r="W222" s="34"/>
    </row>
    <row r="223" spans="1:23" ht="30" customHeight="1">
      <c r="A223" s="20">
        <v>88040</v>
      </c>
      <c r="B223" s="1348" t="s">
        <v>427</v>
      </c>
      <c r="C223" s="1348"/>
      <c r="D223" s="1348"/>
      <c r="E223" s="240" t="s">
        <v>428</v>
      </c>
      <c r="F223" s="241">
        <v>143380</v>
      </c>
      <c r="G223" s="200"/>
      <c r="H223" s="201"/>
      <c r="I223" s="1349">
        <f>+'2019 MILCON Inflation Table'!$F$18</f>
        <v>0.94232233454704462</v>
      </c>
      <c r="J223" s="1350"/>
      <c r="K223" s="242">
        <f t="shared" ref="K223:K230" si="0">+F223*I223</f>
        <v>135110.17632735526</v>
      </c>
      <c r="L223" s="20" t="s">
        <v>10</v>
      </c>
      <c r="M223" s="1146"/>
      <c r="N223" s="282"/>
      <c r="R223" s="34"/>
      <c r="S223" s="34"/>
      <c r="T223" s="34"/>
      <c r="U223" s="44"/>
      <c r="V223" s="44"/>
      <c r="W223" s="34"/>
    </row>
    <row r="224" spans="1:23" ht="30" customHeight="1">
      <c r="A224" s="20">
        <v>88040</v>
      </c>
      <c r="B224" s="1348" t="s">
        <v>429</v>
      </c>
      <c r="C224" s="1348"/>
      <c r="D224" s="1348"/>
      <c r="E224" s="240" t="s">
        <v>428</v>
      </c>
      <c r="F224" s="241">
        <v>261970</v>
      </c>
      <c r="G224" s="200"/>
      <c r="H224" s="201"/>
      <c r="I224" s="1349">
        <f>+'2019 MILCON Inflation Table'!$F$18</f>
        <v>0.94232233454704462</v>
      </c>
      <c r="J224" s="1350"/>
      <c r="K224" s="242">
        <f t="shared" si="0"/>
        <v>246860.18198128926</v>
      </c>
      <c r="L224" s="20" t="s">
        <v>10</v>
      </c>
      <c r="M224" s="1146"/>
      <c r="O224" s="42"/>
      <c r="P224" s="34"/>
      <c r="Q224" s="34"/>
      <c r="R224" s="34"/>
      <c r="S224" s="44"/>
      <c r="T224" s="44"/>
      <c r="U224" s="34"/>
    </row>
    <row r="225" spans="1:23" ht="30" customHeight="1">
      <c r="A225" s="20">
        <v>88040</v>
      </c>
      <c r="B225" s="1348" t="s">
        <v>430</v>
      </c>
      <c r="C225" s="1348"/>
      <c r="D225" s="1348"/>
      <c r="E225" s="240" t="s">
        <v>428</v>
      </c>
      <c r="F225" s="241">
        <v>261970</v>
      </c>
      <c r="G225" s="200"/>
      <c r="H225" s="201"/>
      <c r="I225" s="1349">
        <f>+'2019 MILCON Inflation Table'!$F$18</f>
        <v>0.94232233454704462</v>
      </c>
      <c r="J225" s="1350"/>
      <c r="K225" s="242">
        <f t="shared" si="0"/>
        <v>246860.18198128926</v>
      </c>
      <c r="L225" s="20" t="s">
        <v>10</v>
      </c>
      <c r="M225" s="1146"/>
      <c r="N225" s="34"/>
      <c r="P225" s="34"/>
      <c r="Q225" s="34"/>
      <c r="R225" s="34"/>
      <c r="S225" s="44"/>
      <c r="T225" s="44"/>
      <c r="U225" s="34"/>
    </row>
    <row r="226" spans="1:23" ht="30" customHeight="1">
      <c r="A226" s="20">
        <v>88040</v>
      </c>
      <c r="B226" s="1348" t="s">
        <v>431</v>
      </c>
      <c r="C226" s="1348"/>
      <c r="D226" s="1348"/>
      <c r="E226" s="240" t="s">
        <v>428</v>
      </c>
      <c r="F226" s="241">
        <v>51620</v>
      </c>
      <c r="G226" s="200"/>
      <c r="H226" s="201"/>
      <c r="I226" s="1349">
        <f>+'2019 MILCON Inflation Table'!$F$18</f>
        <v>0.94232233454704462</v>
      </c>
      <c r="J226" s="1350"/>
      <c r="K226" s="242">
        <f t="shared" si="0"/>
        <v>48642.678909318442</v>
      </c>
      <c r="L226" s="20" t="s">
        <v>10</v>
      </c>
      <c r="M226" s="1146"/>
      <c r="P226" s="34"/>
      <c r="Q226" s="34"/>
      <c r="R226" s="34"/>
      <c r="S226" s="44"/>
      <c r="T226" s="44"/>
      <c r="U226" s="34"/>
    </row>
    <row r="227" spans="1:23" ht="30" customHeight="1">
      <c r="A227" s="20">
        <v>88040</v>
      </c>
      <c r="B227" s="1348" t="s">
        <v>432</v>
      </c>
      <c r="C227" s="1348"/>
      <c r="D227" s="1348"/>
      <c r="E227" s="240" t="s">
        <v>428</v>
      </c>
      <c r="F227" s="241">
        <v>59010</v>
      </c>
      <c r="G227" s="200"/>
      <c r="H227" s="201"/>
      <c r="I227" s="1349">
        <f>+'2019 MILCON Inflation Table'!$F$18</f>
        <v>0.94232233454704462</v>
      </c>
      <c r="J227" s="1350"/>
      <c r="K227" s="242">
        <f t="shared" si="0"/>
        <v>55606.440961621105</v>
      </c>
      <c r="L227" s="20" t="s">
        <v>10</v>
      </c>
      <c r="M227" s="1146"/>
      <c r="P227" s="34"/>
      <c r="Q227" s="34"/>
      <c r="R227" s="34"/>
      <c r="S227" s="44"/>
      <c r="T227" s="44"/>
      <c r="U227" s="34"/>
    </row>
    <row r="228" spans="1:23" ht="30" customHeight="1">
      <c r="A228" s="20">
        <v>88040</v>
      </c>
      <c r="B228" s="1348" t="s">
        <v>433</v>
      </c>
      <c r="C228" s="1348"/>
      <c r="D228" s="1348"/>
      <c r="E228" s="240" t="s">
        <v>428</v>
      </c>
      <c r="F228" s="241">
        <v>62870</v>
      </c>
      <c r="G228" s="200"/>
      <c r="H228" s="201"/>
      <c r="I228" s="1349">
        <f>+'2019 MILCON Inflation Table'!$F$18</f>
        <v>0.94232233454704462</v>
      </c>
      <c r="J228" s="1350"/>
      <c r="K228" s="242">
        <f t="shared" si="0"/>
        <v>59243.805172972694</v>
      </c>
      <c r="L228" s="20" t="s">
        <v>10</v>
      </c>
      <c r="M228" s="1146"/>
      <c r="P228" s="34"/>
      <c r="Q228" s="34"/>
      <c r="R228" s="34"/>
      <c r="S228" s="44"/>
      <c r="T228" s="44"/>
      <c r="U228" s="34"/>
    </row>
    <row r="229" spans="1:23" s="38" customFormat="1" ht="30" customHeight="1">
      <c r="A229" s="20">
        <v>88040</v>
      </c>
      <c r="B229" s="1348" t="s">
        <v>434</v>
      </c>
      <c r="C229" s="1348"/>
      <c r="D229" s="1348"/>
      <c r="E229" s="240" t="s">
        <v>428</v>
      </c>
      <c r="F229" s="241">
        <v>70030</v>
      </c>
      <c r="G229" s="200"/>
      <c r="H229" s="201"/>
      <c r="I229" s="1349">
        <f>+'2019 MILCON Inflation Table'!$F$18</f>
        <v>0.94232233454704462</v>
      </c>
      <c r="J229" s="1350"/>
      <c r="K229" s="242">
        <f t="shared" si="0"/>
        <v>65990.833088329528</v>
      </c>
      <c r="L229" s="20" t="s">
        <v>10</v>
      </c>
      <c r="M229" s="1146"/>
      <c r="N229" s="193"/>
      <c r="O229" s="1119"/>
      <c r="P229" s="39"/>
      <c r="Q229" s="39"/>
      <c r="R229" s="39"/>
      <c r="S229" s="84"/>
      <c r="T229" s="84"/>
      <c r="U229" s="39"/>
    </row>
    <row r="230" spans="1:23" ht="30" customHeight="1">
      <c r="A230" s="20">
        <v>88040</v>
      </c>
      <c r="B230" s="1224" t="s">
        <v>435</v>
      </c>
      <c r="C230" s="1224"/>
      <c r="D230" s="1224"/>
      <c r="E230" s="240" t="s">
        <v>428</v>
      </c>
      <c r="F230" s="241">
        <v>55050</v>
      </c>
      <c r="G230" s="200"/>
      <c r="H230" s="201"/>
      <c r="I230" s="1349">
        <f>+'2019 MILCON Inflation Table'!$F$18</f>
        <v>0.94232233454704462</v>
      </c>
      <c r="J230" s="1350"/>
      <c r="K230" s="242">
        <f t="shared" si="0"/>
        <v>51874.844516814803</v>
      </c>
      <c r="L230" s="20" t="s">
        <v>10</v>
      </c>
      <c r="M230" s="1146"/>
      <c r="P230" s="34"/>
      <c r="Q230" s="34"/>
      <c r="R230" s="34"/>
      <c r="S230" s="44"/>
      <c r="T230" s="44"/>
      <c r="U230" s="34"/>
    </row>
    <row r="231" spans="1:23" ht="30" customHeight="1" thickBot="1">
      <c r="A231" s="20"/>
      <c r="B231" s="1224"/>
      <c r="C231" s="1224"/>
      <c r="D231" s="1224"/>
      <c r="E231" s="236"/>
      <c r="F231" s="237"/>
      <c r="G231" s="237"/>
      <c r="H231" s="238" t="s">
        <v>311</v>
      </c>
      <c r="I231" s="243"/>
      <c r="J231" s="244" t="s">
        <v>289</v>
      </c>
      <c r="K231" s="242">
        <f>AVERAGE(K223:K230)</f>
        <v>113773.6428673738</v>
      </c>
      <c r="L231" s="20" t="s">
        <v>10</v>
      </c>
      <c r="M231" s="1146"/>
      <c r="P231" s="34"/>
      <c r="Q231" s="34"/>
      <c r="R231" s="34"/>
      <c r="S231" s="44"/>
      <c r="T231" s="44"/>
      <c r="U231" s="34"/>
    </row>
    <row r="232" spans="1:23" ht="30" customHeight="1" thickBot="1">
      <c r="A232" s="1165"/>
      <c r="B232" s="1166"/>
      <c r="C232" s="1166"/>
      <c r="D232" s="1166"/>
      <c r="E232" s="1166"/>
      <c r="F232" s="1166"/>
      <c r="G232" s="1166"/>
      <c r="H232" s="1166"/>
      <c r="I232" s="1166"/>
      <c r="J232" s="1166"/>
      <c r="K232" s="1166"/>
      <c r="L232" s="1167"/>
      <c r="M232" s="1146"/>
      <c r="N232" s="282"/>
      <c r="R232" s="34"/>
      <c r="S232" s="34"/>
      <c r="T232" s="34"/>
      <c r="U232" s="44"/>
      <c r="V232" s="44"/>
      <c r="W232" s="34"/>
    </row>
    <row r="233" spans="1:23" ht="30" customHeight="1">
      <c r="A233" s="81" t="s">
        <v>280</v>
      </c>
      <c r="B233" s="82">
        <v>1459</v>
      </c>
      <c r="C233" s="1228" t="s">
        <v>436</v>
      </c>
      <c r="D233" s="1229"/>
      <c r="E233" s="74" t="s">
        <v>282</v>
      </c>
      <c r="F233" s="75" t="s">
        <v>8</v>
      </c>
      <c r="G233" s="58" t="s">
        <v>290</v>
      </c>
      <c r="H233" s="245">
        <v>2312</v>
      </c>
      <c r="I233" s="74" t="s">
        <v>283</v>
      </c>
      <c r="J233" s="1199" t="s">
        <v>437</v>
      </c>
      <c r="K233" s="1230"/>
      <c r="L233" s="1231"/>
      <c r="M233" s="1146"/>
      <c r="P233" s="34"/>
      <c r="Q233" s="34"/>
      <c r="R233" s="34"/>
      <c r="S233" s="44"/>
      <c r="T233" s="44"/>
      <c r="U233" s="34"/>
    </row>
    <row r="234" spans="1:23" ht="30" customHeight="1">
      <c r="A234" s="77" t="s">
        <v>293</v>
      </c>
      <c r="B234" s="1232" t="s">
        <v>284</v>
      </c>
      <c r="C234" s="1232"/>
      <c r="D234" s="1232"/>
      <c r="E234" s="78" t="s">
        <v>294</v>
      </c>
      <c r="F234" s="96" t="s">
        <v>295</v>
      </c>
      <c r="G234" s="77"/>
      <c r="H234" s="77"/>
      <c r="I234" s="1233" t="s">
        <v>426</v>
      </c>
      <c r="J234" s="1234"/>
      <c r="K234" s="1206" t="s">
        <v>297</v>
      </c>
      <c r="L234" s="1207"/>
      <c r="M234" s="1146"/>
      <c r="N234" s="963"/>
      <c r="P234" s="34"/>
      <c r="Q234" s="34"/>
      <c r="R234" s="34"/>
      <c r="S234" s="44"/>
      <c r="T234" s="44"/>
      <c r="U234" s="34"/>
    </row>
    <row r="235" spans="1:23" ht="30" customHeight="1">
      <c r="A235" s="20">
        <v>14179</v>
      </c>
      <c r="B235" s="1179" t="s">
        <v>438</v>
      </c>
      <c r="C235" s="1180"/>
      <c r="D235" s="1181"/>
      <c r="E235" s="246">
        <v>2600</v>
      </c>
      <c r="F235" s="247">
        <v>131</v>
      </c>
      <c r="G235" s="248"/>
      <c r="H235" s="249"/>
      <c r="I235" s="1349">
        <f>+'2019 MILCON Inflation Table'!F16</f>
        <v>0.98039215686274506</v>
      </c>
      <c r="J235" s="1350"/>
      <c r="K235" s="242">
        <f>+F235*I235</f>
        <v>128.43137254901961</v>
      </c>
      <c r="L235" s="20" t="s">
        <v>8</v>
      </c>
      <c r="M235" s="1146"/>
      <c r="N235" s="963"/>
      <c r="P235" s="34"/>
      <c r="Q235" s="34"/>
      <c r="R235" s="34"/>
      <c r="S235" s="44"/>
      <c r="T235" s="44"/>
      <c r="U235" s="34"/>
    </row>
    <row r="236" spans="1:23" ht="30" customHeight="1" thickBot="1">
      <c r="A236" s="20"/>
      <c r="B236" s="1224"/>
      <c r="C236" s="1224"/>
      <c r="D236" s="1224"/>
      <c r="E236" s="236"/>
      <c r="F236" s="237"/>
      <c r="G236" s="237"/>
      <c r="H236" s="238"/>
      <c r="I236" s="18"/>
      <c r="J236" s="79" t="s">
        <v>289</v>
      </c>
      <c r="K236" s="107">
        <f>+K235</f>
        <v>128.43137254901961</v>
      </c>
      <c r="L236" s="20" t="s">
        <v>8</v>
      </c>
      <c r="M236" s="1146"/>
      <c r="N236" s="963"/>
      <c r="P236" s="34"/>
      <c r="Q236" s="34"/>
      <c r="R236" s="34"/>
      <c r="S236" s="44"/>
      <c r="T236" s="44"/>
      <c r="U236" s="34"/>
    </row>
    <row r="237" spans="1:23" ht="30" customHeight="1" thickBot="1">
      <c r="A237" s="1165"/>
      <c r="B237" s="1166"/>
      <c r="C237" s="1166"/>
      <c r="D237" s="1166"/>
      <c r="E237" s="1166"/>
      <c r="F237" s="1166"/>
      <c r="G237" s="1166"/>
      <c r="H237" s="1166"/>
      <c r="I237" s="1166"/>
      <c r="J237" s="1166"/>
      <c r="K237" s="1166"/>
      <c r="L237" s="1167"/>
      <c r="M237" s="1146"/>
      <c r="N237" s="963"/>
      <c r="P237" s="34"/>
      <c r="Q237" s="34"/>
      <c r="R237" s="34"/>
      <c r="S237" s="44"/>
      <c r="T237" s="44"/>
      <c r="U237" s="34"/>
    </row>
    <row r="238" spans="1:23" ht="30" customHeight="1">
      <c r="A238" s="81" t="s">
        <v>280</v>
      </c>
      <c r="B238" s="82">
        <v>1466</v>
      </c>
      <c r="C238" s="1197" t="s">
        <v>439</v>
      </c>
      <c r="D238" s="1198"/>
      <c r="E238" s="74" t="s">
        <v>282</v>
      </c>
      <c r="F238" s="75" t="s">
        <v>8</v>
      </c>
      <c r="G238" s="58" t="s">
        <v>290</v>
      </c>
      <c r="H238" s="76">
        <v>13686</v>
      </c>
      <c r="I238" s="74" t="s">
        <v>283</v>
      </c>
      <c r="J238" s="1199" t="s">
        <v>440</v>
      </c>
      <c r="K238" s="1230"/>
      <c r="L238" s="1231"/>
      <c r="M238" s="1146"/>
      <c r="N238" s="963"/>
      <c r="P238" s="34"/>
      <c r="Q238" s="34"/>
      <c r="R238" s="34"/>
      <c r="S238" s="44"/>
      <c r="T238" s="44"/>
      <c r="U238" s="34"/>
    </row>
    <row r="239" spans="1:23" ht="30" customHeight="1">
      <c r="A239" s="77"/>
      <c r="B239" s="1232" t="s">
        <v>284</v>
      </c>
      <c r="C239" s="1232"/>
      <c r="D239" s="1232"/>
      <c r="E239" s="77" t="s">
        <v>295</v>
      </c>
      <c r="F239" s="77" t="s">
        <v>331</v>
      </c>
      <c r="G239" s="1204" t="s">
        <v>332</v>
      </c>
      <c r="H239" s="1205"/>
      <c r="I239" s="77" t="s">
        <v>337</v>
      </c>
      <c r="J239" s="77" t="s">
        <v>441</v>
      </c>
      <c r="K239" s="1303" t="s">
        <v>297</v>
      </c>
      <c r="L239" s="1304"/>
      <c r="M239" s="1146"/>
      <c r="P239" s="34"/>
      <c r="Q239" s="34"/>
      <c r="R239" s="34"/>
      <c r="S239" s="44"/>
      <c r="T239" s="44"/>
      <c r="U239" s="34"/>
    </row>
    <row r="240" spans="1:23" ht="30" customHeight="1">
      <c r="A240" s="65" t="s">
        <v>442</v>
      </c>
      <c r="B240" s="1224" t="s">
        <v>443</v>
      </c>
      <c r="C240" s="1224"/>
      <c r="D240" s="1224"/>
      <c r="E240" s="254">
        <v>6943</v>
      </c>
      <c r="F240" s="251" t="s">
        <v>444</v>
      </c>
      <c r="G240" s="1349">
        <f>1/10.76391</f>
        <v>9.2903043596611279E-2</v>
      </c>
      <c r="H240" s="1350"/>
      <c r="I240" s="1046">
        <v>2.42</v>
      </c>
      <c r="J240" s="1020">
        <f>+'2019 MILCON Inflation Table'!F13</f>
        <v>1.0963107786467188</v>
      </c>
      <c r="K240" s="1047">
        <f>E240*G240/I240*J240</f>
        <v>292.21023627632474</v>
      </c>
      <c r="L240" s="251" t="s">
        <v>8</v>
      </c>
      <c r="M240" s="1146"/>
      <c r="P240" s="34"/>
      <c r="Q240" s="34"/>
      <c r="R240" s="34"/>
      <c r="S240" s="44"/>
      <c r="T240" s="44"/>
      <c r="U240" s="34"/>
    </row>
    <row r="241" spans="1:23" ht="30" customHeight="1">
      <c r="A241" s="20"/>
      <c r="B241" s="1176" t="s">
        <v>445</v>
      </c>
      <c r="C241" s="1286"/>
      <c r="D241" s="1286"/>
      <c r="E241" s="1286"/>
      <c r="F241" s="1286"/>
      <c r="G241" s="1286"/>
      <c r="H241" s="1286"/>
      <c r="I241" s="1287"/>
      <c r="J241" s="79" t="s">
        <v>289</v>
      </c>
      <c r="K241" s="242">
        <f>+K240</f>
        <v>292.21023627632474</v>
      </c>
      <c r="L241" s="20" t="s">
        <v>8</v>
      </c>
      <c r="M241" s="1146"/>
      <c r="P241" s="34"/>
      <c r="Q241" s="34"/>
      <c r="R241" s="34"/>
      <c r="S241" s="44"/>
      <c r="T241" s="44"/>
      <c r="U241" s="34"/>
    </row>
    <row r="242" spans="1:23" ht="34.5" customHeight="1" thickBot="1">
      <c r="A242" s="1191" t="s">
        <v>2863</v>
      </c>
      <c r="B242" s="1191"/>
      <c r="C242" s="1191"/>
      <c r="D242" s="1191"/>
      <c r="E242" s="1191"/>
      <c r="F242" s="1191"/>
      <c r="G242" s="1191"/>
      <c r="H242" s="1191"/>
      <c r="I242" s="1191"/>
      <c r="J242" s="1191"/>
      <c r="K242" s="1191"/>
      <c r="L242" s="1191"/>
      <c r="M242" s="1146"/>
    </row>
    <row r="243" spans="1:23" ht="30" customHeight="1" thickBot="1">
      <c r="A243" s="1165"/>
      <c r="B243" s="1166"/>
      <c r="C243" s="1166"/>
      <c r="D243" s="1166"/>
      <c r="E243" s="1166"/>
      <c r="F243" s="1166"/>
      <c r="G243" s="1166"/>
      <c r="H243" s="1166"/>
      <c r="I243" s="1166"/>
      <c r="J243" s="1166"/>
      <c r="K243" s="1166"/>
      <c r="L243" s="1167"/>
      <c r="M243" s="1146"/>
      <c r="P243" s="34"/>
      <c r="Q243" s="34"/>
      <c r="R243" s="34"/>
      <c r="S243" s="44"/>
      <c r="T243" s="44"/>
      <c r="U243" s="34"/>
    </row>
    <row r="244" spans="1:23" s="38" customFormat="1" ht="30" customHeight="1">
      <c r="A244" s="27" t="s">
        <v>280</v>
      </c>
      <c r="B244" s="28">
        <v>1467</v>
      </c>
      <c r="C244" s="1215" t="s">
        <v>446</v>
      </c>
      <c r="D244" s="1216"/>
      <c r="E244" s="30" t="s">
        <v>282</v>
      </c>
      <c r="F244" s="31" t="s">
        <v>10</v>
      </c>
      <c r="G244" s="58" t="s">
        <v>290</v>
      </c>
      <c r="H244" s="76">
        <v>2</v>
      </c>
      <c r="I244" s="30" t="s">
        <v>283</v>
      </c>
      <c r="J244" s="1199" t="s">
        <v>2528</v>
      </c>
      <c r="K244" s="1230"/>
      <c r="L244" s="1231"/>
      <c r="M244" s="1146"/>
      <c r="N244" s="193"/>
      <c r="O244" s="1119"/>
      <c r="P244" s="39"/>
      <c r="Q244" s="39"/>
      <c r="R244" s="39"/>
      <c r="S244" s="84"/>
      <c r="T244" s="84"/>
      <c r="U244" s="39"/>
    </row>
    <row r="245" spans="1:23" ht="30" customHeight="1">
      <c r="A245" s="35" t="s">
        <v>293</v>
      </c>
      <c r="B245" s="1299" t="s">
        <v>284</v>
      </c>
      <c r="C245" s="1299"/>
      <c r="D245" s="1299"/>
      <c r="E245" s="35" t="s">
        <v>295</v>
      </c>
      <c r="F245" s="35" t="s">
        <v>331</v>
      </c>
      <c r="G245" s="1356" t="s">
        <v>332</v>
      </c>
      <c r="H245" s="1357"/>
      <c r="I245" s="1358" t="s">
        <v>447</v>
      </c>
      <c r="J245" s="1359"/>
      <c r="K245" s="255" t="s">
        <v>448</v>
      </c>
      <c r="L245" s="35"/>
      <c r="M245" s="1146"/>
      <c r="P245" s="34"/>
      <c r="Q245" s="34"/>
      <c r="R245" s="34"/>
      <c r="S245" s="44"/>
      <c r="T245" s="44"/>
      <c r="U245" s="34"/>
    </row>
    <row r="246" spans="1:23" ht="30" customHeight="1">
      <c r="A246" s="251">
        <v>14915</v>
      </c>
      <c r="B246" s="1307" t="s">
        <v>449</v>
      </c>
      <c r="C246" s="1307"/>
      <c r="D246" s="1307"/>
      <c r="E246" s="257">
        <f>+K4352</f>
        <v>26298.917999999998</v>
      </c>
      <c r="F246" s="256" t="s">
        <v>10</v>
      </c>
      <c r="G246" s="258"/>
      <c r="H246" s="259"/>
      <c r="I246" s="1360">
        <f>36/40</f>
        <v>0.9</v>
      </c>
      <c r="J246" s="1361"/>
      <c r="K246" s="260">
        <f>+E246*I246</f>
        <v>23669.0262</v>
      </c>
      <c r="L246" s="45" t="s">
        <v>10</v>
      </c>
      <c r="M246" s="1146"/>
      <c r="P246" s="34"/>
      <c r="Q246" s="34"/>
      <c r="R246" s="34"/>
      <c r="S246" s="44"/>
      <c r="T246" s="44"/>
      <c r="U246" s="34"/>
    </row>
    <row r="247" spans="1:23" ht="30" customHeight="1">
      <c r="A247" s="45">
        <v>14985</v>
      </c>
      <c r="B247" s="1307" t="s">
        <v>451</v>
      </c>
      <c r="C247" s="1307"/>
      <c r="D247" s="1307"/>
      <c r="E247" s="261">
        <f>+K46</f>
        <v>10089.292990654203</v>
      </c>
      <c r="F247" s="45" t="s">
        <v>10</v>
      </c>
      <c r="G247" s="262"/>
      <c r="H247" s="263"/>
      <c r="I247" s="1352">
        <f>4/40</f>
        <v>0.1</v>
      </c>
      <c r="J247" s="1353"/>
      <c r="K247" s="95">
        <f>+E247*I247</f>
        <v>1008.9292990654203</v>
      </c>
      <c r="L247" s="45" t="s">
        <v>10</v>
      </c>
      <c r="M247" s="1146"/>
      <c r="N247" s="282"/>
      <c r="R247" s="34"/>
      <c r="S247" s="34"/>
      <c r="T247" s="34"/>
      <c r="U247" s="44"/>
      <c r="V247" s="44"/>
      <c r="W247" s="34"/>
    </row>
    <row r="248" spans="1:23" ht="30" customHeight="1">
      <c r="A248" s="48"/>
      <c r="B248" s="264"/>
      <c r="C248" s="264"/>
      <c r="D248" s="264"/>
      <c r="E248" s="21"/>
      <c r="F248" s="48"/>
      <c r="G248" s="30"/>
      <c r="H248" s="265"/>
      <c r="I248" s="266"/>
      <c r="J248" s="267" t="s">
        <v>452</v>
      </c>
      <c r="K248" s="87">
        <f>SUM(K246:K247)</f>
        <v>24677.955499065421</v>
      </c>
      <c r="L248" s="45" t="s">
        <v>10</v>
      </c>
      <c r="M248" s="1146"/>
      <c r="P248" s="34"/>
      <c r="Q248" s="34"/>
      <c r="R248" s="34"/>
      <c r="S248" s="44"/>
      <c r="T248" s="44"/>
      <c r="U248" s="34"/>
    </row>
    <row r="249" spans="1:23" ht="30" customHeight="1">
      <c r="A249" s="48"/>
      <c r="B249" s="264"/>
      <c r="C249" s="264"/>
      <c r="D249" s="264"/>
      <c r="E249" s="46"/>
      <c r="F249" s="48"/>
      <c r="G249" s="1354" t="s">
        <v>2883</v>
      </c>
      <c r="H249" s="1355"/>
      <c r="I249" s="1355"/>
      <c r="J249" s="268" t="s">
        <v>289</v>
      </c>
      <c r="K249" s="269">
        <f>+K248</f>
        <v>24677.955499065421</v>
      </c>
      <c r="L249" s="45" t="s">
        <v>10</v>
      </c>
      <c r="M249" s="1146"/>
      <c r="N249" s="963"/>
      <c r="P249" s="34"/>
      <c r="Q249" s="34"/>
      <c r="R249" s="34"/>
      <c r="S249" s="44"/>
      <c r="T249" s="44"/>
      <c r="U249" s="34"/>
    </row>
    <row r="250" spans="1:23" ht="30" customHeight="1">
      <c r="A250" s="1335" t="s">
        <v>2864</v>
      </c>
      <c r="B250" s="1335"/>
      <c r="C250" s="1335"/>
      <c r="D250" s="1335"/>
      <c r="E250" s="1335"/>
      <c r="F250" s="1335"/>
      <c r="G250" s="1335"/>
      <c r="H250" s="1335"/>
      <c r="I250" s="1335"/>
      <c r="J250" s="1335"/>
      <c r="K250" s="1335"/>
      <c r="L250" s="1335"/>
      <c r="M250" s="1146"/>
      <c r="N250" s="963"/>
      <c r="P250" s="34"/>
      <c r="Q250" s="34"/>
      <c r="R250" s="34"/>
      <c r="S250" s="44"/>
      <c r="T250" s="44"/>
      <c r="U250" s="34"/>
    </row>
    <row r="251" spans="1:23" ht="30" customHeight="1">
      <c r="A251" s="1335"/>
      <c r="B251" s="1335"/>
      <c r="C251" s="1335"/>
      <c r="D251" s="1335"/>
      <c r="E251" s="1335"/>
      <c r="F251" s="1335"/>
      <c r="G251" s="1335"/>
      <c r="H251" s="1335"/>
      <c r="I251" s="1335"/>
      <c r="J251" s="1335"/>
      <c r="K251" s="1335"/>
      <c r="L251" s="1335"/>
      <c r="M251" s="1146"/>
      <c r="P251" s="34"/>
      <c r="Q251" s="34"/>
      <c r="R251" s="34"/>
      <c r="S251" s="44"/>
      <c r="T251" s="44"/>
      <c r="U251" s="34"/>
    </row>
    <row r="252" spans="1:23" ht="30" customHeight="1">
      <c r="A252" s="1335"/>
      <c r="B252" s="1335"/>
      <c r="C252" s="1335"/>
      <c r="D252" s="1335"/>
      <c r="E252" s="1335"/>
      <c r="F252" s="1335"/>
      <c r="G252" s="1335"/>
      <c r="H252" s="1335"/>
      <c r="I252" s="1335"/>
      <c r="J252" s="1335"/>
      <c r="K252" s="1335"/>
      <c r="L252" s="1335"/>
      <c r="M252" s="1146"/>
      <c r="P252" s="34"/>
      <c r="Q252" s="34"/>
      <c r="R252" s="34"/>
      <c r="S252" s="44"/>
      <c r="T252" s="44"/>
      <c r="U252" s="34"/>
    </row>
    <row r="253" spans="1:23" ht="15" customHeight="1" thickBot="1">
      <c r="A253" s="1335"/>
      <c r="B253" s="1335"/>
      <c r="C253" s="1335"/>
      <c r="D253" s="1335"/>
      <c r="E253" s="1335"/>
      <c r="F253" s="1335"/>
      <c r="G253" s="1335"/>
      <c r="H253" s="1335"/>
      <c r="I253" s="1335"/>
      <c r="J253" s="1335"/>
      <c r="K253" s="1335"/>
      <c r="L253" s="1335"/>
      <c r="M253" s="1146"/>
      <c r="O253" s="42"/>
    </row>
    <row r="254" spans="1:23" ht="30" customHeight="1" thickBot="1">
      <c r="A254" s="1165"/>
      <c r="B254" s="1166"/>
      <c r="C254" s="1166"/>
      <c r="D254" s="1166"/>
      <c r="E254" s="1166"/>
      <c r="F254" s="1166"/>
      <c r="G254" s="1166"/>
      <c r="H254" s="1166"/>
      <c r="I254" s="1166"/>
      <c r="J254" s="1166"/>
      <c r="K254" s="1166"/>
      <c r="L254" s="1167"/>
      <c r="M254" s="1146"/>
    </row>
    <row r="255" spans="1:23" ht="30" customHeight="1">
      <c r="A255" s="81" t="s">
        <v>280</v>
      </c>
      <c r="B255" s="82">
        <v>1491</v>
      </c>
      <c r="C255" s="144" t="s">
        <v>454</v>
      </c>
      <c r="D255" s="145"/>
      <c r="E255" s="74" t="s">
        <v>282</v>
      </c>
      <c r="F255" s="75" t="s">
        <v>10</v>
      </c>
      <c r="G255" s="91" t="s">
        <v>455</v>
      </c>
      <c r="H255" s="1031" t="s">
        <v>456</v>
      </c>
      <c r="I255" s="74" t="s">
        <v>283</v>
      </c>
      <c r="J255" s="1310" t="s">
        <v>2527</v>
      </c>
      <c r="K255" s="1310"/>
      <c r="L255" s="1311"/>
      <c r="M255" s="1146"/>
      <c r="P255" s="34"/>
      <c r="Q255" s="34"/>
      <c r="R255" s="34"/>
      <c r="S255" s="44"/>
      <c r="T255" s="44"/>
      <c r="U255" s="34"/>
    </row>
    <row r="256" spans="1:23" s="38" customFormat="1" ht="30" customHeight="1">
      <c r="A256" s="79" t="s">
        <v>304</v>
      </c>
      <c r="B256" s="1201" t="s">
        <v>330</v>
      </c>
      <c r="C256" s="1202"/>
      <c r="D256" s="1203"/>
      <c r="E256" s="150" t="s">
        <v>295</v>
      </c>
      <c r="F256" s="150" t="s">
        <v>331</v>
      </c>
      <c r="G256" s="1204" t="s">
        <v>332</v>
      </c>
      <c r="H256" s="1205"/>
      <c r="I256" s="151" t="s">
        <v>305</v>
      </c>
      <c r="J256" s="151"/>
      <c r="K256" s="1206" t="s">
        <v>297</v>
      </c>
      <c r="L256" s="1207"/>
      <c r="M256" s="1146"/>
      <c r="N256" s="193"/>
      <c r="O256" s="1119"/>
      <c r="P256" s="39"/>
      <c r="Q256" s="39"/>
      <c r="R256" s="39"/>
      <c r="S256" s="84"/>
      <c r="T256" s="84"/>
      <c r="U256" s="39"/>
    </row>
    <row r="257" spans="1:23" ht="30" customHeight="1">
      <c r="A257" s="20" t="s">
        <v>457</v>
      </c>
      <c r="B257" s="1176" t="s">
        <v>458</v>
      </c>
      <c r="C257" s="1177"/>
      <c r="D257" s="1178"/>
      <c r="E257" s="153">
        <v>154</v>
      </c>
      <c r="F257" s="20" t="s">
        <v>8</v>
      </c>
      <c r="G257" s="271">
        <v>5000</v>
      </c>
      <c r="H257" s="155" t="s">
        <v>334</v>
      </c>
      <c r="I257" s="20">
        <v>1.05</v>
      </c>
      <c r="J257" s="20"/>
      <c r="K257" s="153">
        <f>+E257*G257*I257</f>
        <v>808500</v>
      </c>
      <c r="L257" s="20" t="s">
        <v>10</v>
      </c>
      <c r="M257" s="1146"/>
      <c r="P257" s="34"/>
      <c r="Q257" s="34"/>
      <c r="R257" s="34"/>
      <c r="S257" s="44"/>
      <c r="T257" s="44"/>
      <c r="U257" s="34"/>
    </row>
    <row r="258" spans="1:23" ht="30" customHeight="1">
      <c r="A258" s="272" t="s">
        <v>459</v>
      </c>
      <c r="B258" s="1179" t="s">
        <v>460</v>
      </c>
      <c r="C258" s="1180"/>
      <c r="D258" s="1181"/>
      <c r="E258" s="153">
        <v>-2.36</v>
      </c>
      <c r="F258" s="20" t="s">
        <v>8</v>
      </c>
      <c r="G258" s="271">
        <v>5000</v>
      </c>
      <c r="H258" s="155" t="s">
        <v>334</v>
      </c>
      <c r="I258" s="20">
        <v>1.05</v>
      </c>
      <c r="J258" s="20"/>
      <c r="K258" s="153">
        <f>+E258*G258*I258</f>
        <v>-12390</v>
      </c>
      <c r="L258" s="20" t="s">
        <v>10</v>
      </c>
      <c r="M258" s="1146"/>
      <c r="P258" s="34"/>
      <c r="Q258" s="34"/>
      <c r="R258" s="34"/>
      <c r="S258" s="44"/>
      <c r="T258" s="44"/>
      <c r="U258" s="34"/>
    </row>
    <row r="259" spans="1:23" ht="30" customHeight="1">
      <c r="A259" s="20" t="s">
        <v>461</v>
      </c>
      <c r="B259" s="1179" t="s">
        <v>462</v>
      </c>
      <c r="C259" s="1180"/>
      <c r="D259" s="1181"/>
      <c r="E259" s="153">
        <v>87000</v>
      </c>
      <c r="F259" s="20" t="s">
        <v>10</v>
      </c>
      <c r="G259" s="154"/>
      <c r="H259" s="155"/>
      <c r="I259" s="20">
        <v>1.07</v>
      </c>
      <c r="J259" s="20"/>
      <c r="K259" s="153">
        <f>+E259*I259</f>
        <v>93090</v>
      </c>
      <c r="L259" s="20" t="s">
        <v>10</v>
      </c>
      <c r="M259" s="1146"/>
      <c r="N259" s="282"/>
      <c r="R259" s="34"/>
      <c r="S259" s="34"/>
      <c r="T259" s="34"/>
      <c r="U259" s="44"/>
      <c r="V259" s="44"/>
      <c r="W259" s="34"/>
    </row>
    <row r="260" spans="1:23" ht="30" customHeight="1">
      <c r="A260" s="20" t="s">
        <v>461</v>
      </c>
      <c r="B260" s="1162" t="s">
        <v>463</v>
      </c>
      <c r="C260" s="1163"/>
      <c r="D260" s="1164"/>
      <c r="E260" s="153">
        <f>(22.2+44.75)/2</f>
        <v>33.475000000000001</v>
      </c>
      <c r="F260" s="20" t="s">
        <v>6</v>
      </c>
      <c r="G260" s="154">
        <v>100</v>
      </c>
      <c r="H260" s="155" t="s">
        <v>450</v>
      </c>
      <c r="I260" s="20">
        <v>1.07</v>
      </c>
      <c r="J260" s="20"/>
      <c r="K260" s="153">
        <f>E260*G260*I260</f>
        <v>3581.8250000000003</v>
      </c>
      <c r="L260" s="20"/>
      <c r="M260" s="1146"/>
      <c r="P260" s="34"/>
      <c r="Q260" s="34"/>
      <c r="R260" s="34"/>
      <c r="S260" s="44"/>
      <c r="T260" s="44"/>
      <c r="U260" s="34"/>
    </row>
    <row r="261" spans="1:23" ht="30" customHeight="1">
      <c r="A261" s="20" t="s">
        <v>377</v>
      </c>
      <c r="B261" s="1179" t="s">
        <v>464</v>
      </c>
      <c r="C261" s="1180"/>
      <c r="D261" s="1181"/>
      <c r="E261" s="153">
        <v>4.67</v>
      </c>
      <c r="F261" s="20" t="s">
        <v>8</v>
      </c>
      <c r="G261" s="273">
        <v>5000</v>
      </c>
      <c r="H261" s="155" t="s">
        <v>334</v>
      </c>
      <c r="I261" s="20">
        <v>1.05</v>
      </c>
      <c r="J261" s="20"/>
      <c r="K261" s="153">
        <f>+E261*G261*I261</f>
        <v>24517.5</v>
      </c>
      <c r="L261" s="20" t="s">
        <v>10</v>
      </c>
      <c r="M261" s="1146"/>
      <c r="N261" s="963"/>
      <c r="P261" s="34"/>
      <c r="Q261" s="34"/>
      <c r="R261" s="34"/>
      <c r="S261" s="44"/>
      <c r="T261" s="44"/>
      <c r="U261" s="34"/>
    </row>
    <row r="262" spans="1:23" ht="30" customHeight="1">
      <c r="A262" s="20"/>
      <c r="E262" s="153"/>
      <c r="F262" s="20"/>
      <c r="G262" s="20"/>
      <c r="H262" s="20"/>
      <c r="I262" s="20"/>
      <c r="J262" s="20" t="s">
        <v>379</v>
      </c>
      <c r="K262" s="153">
        <f>SUM(K257:K261)</f>
        <v>917299.32499999995</v>
      </c>
      <c r="L262" s="20" t="s">
        <v>10</v>
      </c>
      <c r="M262" s="1146"/>
      <c r="N262" s="963"/>
      <c r="P262" s="34"/>
      <c r="Q262" s="34"/>
      <c r="R262" s="34"/>
      <c r="S262" s="44"/>
      <c r="T262" s="44"/>
      <c r="U262" s="34"/>
    </row>
    <row r="263" spans="1:23" ht="30" customHeight="1">
      <c r="A263" s="20"/>
      <c r="B263" s="1212"/>
      <c r="C263" s="1213"/>
      <c r="D263" s="1214"/>
      <c r="E263" s="153"/>
      <c r="F263" s="1174" t="s">
        <v>308</v>
      </c>
      <c r="G263" s="1208" t="s">
        <v>309</v>
      </c>
      <c r="H263" s="1208"/>
      <c r="I263" s="1208"/>
      <c r="J263" s="1208"/>
      <c r="K263" s="123">
        <v>1.06</v>
      </c>
      <c r="L263" s="10"/>
      <c r="M263" s="1146"/>
      <c r="N263" s="963"/>
      <c r="P263" s="34"/>
      <c r="Q263" s="34"/>
      <c r="R263" s="34"/>
      <c r="S263" s="44"/>
      <c r="T263" s="44"/>
      <c r="U263" s="34"/>
    </row>
    <row r="264" spans="1:23" ht="30" customHeight="1">
      <c r="A264" s="20"/>
      <c r="B264" s="1351" t="s">
        <v>2537</v>
      </c>
      <c r="C264" s="1351"/>
      <c r="D264" s="1351"/>
      <c r="E264" s="153"/>
      <c r="F264" s="1175"/>
      <c r="G264" s="1209" t="s">
        <v>310</v>
      </c>
      <c r="H264" s="1209"/>
      <c r="I264" s="1209"/>
      <c r="J264" s="1209"/>
      <c r="K264" s="123">
        <v>1.07</v>
      </c>
      <c r="L264" s="10"/>
      <c r="M264" s="1146"/>
      <c r="N264" s="963"/>
      <c r="P264" s="34"/>
      <c r="Q264" s="34"/>
      <c r="R264" s="34"/>
      <c r="S264" s="44"/>
      <c r="T264" s="44"/>
      <c r="U264" s="34"/>
    </row>
    <row r="265" spans="1:23" ht="30" customHeight="1">
      <c r="A265" s="20"/>
      <c r="B265" s="20"/>
      <c r="C265" s="18"/>
      <c r="D265" s="18"/>
      <c r="E265" s="18"/>
      <c r="F265" s="18"/>
      <c r="G265" s="18"/>
      <c r="H265" s="18"/>
      <c r="I265" s="18"/>
      <c r="J265" s="18" t="s">
        <v>289</v>
      </c>
      <c r="K265" s="23">
        <f>+K262*K263/K264</f>
        <v>908726.43411214941</v>
      </c>
      <c r="L265" s="20" t="s">
        <v>10</v>
      </c>
      <c r="M265" s="1146"/>
      <c r="N265" s="963"/>
      <c r="P265" s="34"/>
      <c r="Q265" s="34"/>
      <c r="R265" s="34"/>
      <c r="S265" s="44"/>
      <c r="T265" s="44"/>
      <c r="U265" s="34"/>
    </row>
    <row r="266" spans="1:23" ht="30" customHeight="1" thickBot="1">
      <c r="A266" s="20"/>
      <c r="B266" s="20"/>
      <c r="C266" s="18"/>
      <c r="D266" s="18"/>
      <c r="E266" s="18"/>
      <c r="F266" s="18"/>
      <c r="G266" s="160" t="s">
        <v>312</v>
      </c>
      <c r="H266" s="18"/>
      <c r="I266" s="18"/>
      <c r="J266" s="139">
        <f>VLOOKUP(B255,'Mil Cost Premiums for RUCs'!$A$4:$R$266,18,FALSE)</f>
        <v>1.2281354183505979</v>
      </c>
      <c r="K266" s="23">
        <f>+K265*J266</f>
        <v>1116039.1193245717</v>
      </c>
      <c r="L266" s="20" t="s">
        <v>10</v>
      </c>
      <c r="M266" s="1146"/>
      <c r="P266" s="34"/>
      <c r="Q266" s="34"/>
      <c r="R266" s="34"/>
      <c r="S266" s="44"/>
      <c r="T266" s="44"/>
      <c r="U266" s="34"/>
    </row>
    <row r="267" spans="1:23" ht="30" customHeight="1" thickBot="1">
      <c r="A267" s="1165"/>
      <c r="B267" s="1166"/>
      <c r="C267" s="1166"/>
      <c r="D267" s="1166"/>
      <c r="E267" s="1166"/>
      <c r="F267" s="1166"/>
      <c r="G267" s="1166"/>
      <c r="H267" s="1166"/>
      <c r="I267" s="1166"/>
      <c r="J267" s="1166"/>
      <c r="K267" s="1166"/>
      <c r="L267" s="1167"/>
      <c r="M267" s="1146"/>
      <c r="P267" s="34"/>
      <c r="Q267" s="34"/>
      <c r="R267" s="34"/>
      <c r="S267" s="44"/>
      <c r="T267" s="44"/>
      <c r="U267" s="34"/>
    </row>
    <row r="268" spans="1:23" ht="30" customHeight="1">
      <c r="A268" s="81" t="s">
        <v>280</v>
      </c>
      <c r="B268" s="82">
        <v>1492</v>
      </c>
      <c r="C268" s="1228" t="s">
        <v>465</v>
      </c>
      <c r="D268" s="1229"/>
      <c r="E268" s="74" t="s">
        <v>282</v>
      </c>
      <c r="F268" s="75" t="s">
        <v>3</v>
      </c>
      <c r="G268" s="58" t="s">
        <v>290</v>
      </c>
      <c r="H268" s="277">
        <v>4538</v>
      </c>
      <c r="I268" s="74" t="s">
        <v>283</v>
      </c>
      <c r="J268" s="1199" t="s">
        <v>2569</v>
      </c>
      <c r="K268" s="1230"/>
      <c r="L268" s="1231"/>
      <c r="M268" s="1146"/>
      <c r="O268" s="42"/>
    </row>
    <row r="269" spans="1:23" ht="30" customHeight="1">
      <c r="A269" s="77" t="s">
        <v>293</v>
      </c>
      <c r="B269" s="1232" t="s">
        <v>284</v>
      </c>
      <c r="C269" s="1232"/>
      <c r="D269" s="1232"/>
      <c r="E269" s="96" t="s">
        <v>295</v>
      </c>
      <c r="F269" s="278" t="s">
        <v>2</v>
      </c>
      <c r="G269" s="1365" t="s">
        <v>332</v>
      </c>
      <c r="H269" s="1366"/>
      <c r="I269" s="279" t="s">
        <v>466</v>
      </c>
      <c r="J269" s="280"/>
      <c r="K269" s="1206" t="s">
        <v>297</v>
      </c>
      <c r="L269" s="1207"/>
      <c r="M269" s="1146"/>
    </row>
    <row r="270" spans="1:23" ht="30" customHeight="1">
      <c r="A270" s="20">
        <v>93410</v>
      </c>
      <c r="B270" s="1176" t="s">
        <v>467</v>
      </c>
      <c r="C270" s="1177"/>
      <c r="D270" s="1178"/>
      <c r="E270" s="153">
        <v>8.1999999999999993</v>
      </c>
      <c r="F270" s="20" t="s">
        <v>285</v>
      </c>
      <c r="G270" s="206">
        <v>3</v>
      </c>
      <c r="H270" s="206" t="s">
        <v>468</v>
      </c>
      <c r="I270" s="281">
        <f>+'2019 MILCON Inflation Table'!F18</f>
        <v>0.94232233454704462</v>
      </c>
      <c r="J270" s="281"/>
      <c r="K270" s="242">
        <f>+E270/G270*I270</f>
        <v>2.5756810477619214</v>
      </c>
      <c r="L270" s="20" t="s">
        <v>3</v>
      </c>
      <c r="M270" s="1146"/>
      <c r="P270" s="34"/>
      <c r="Q270" s="34"/>
      <c r="R270" s="34"/>
      <c r="S270" s="44"/>
      <c r="T270" s="44"/>
      <c r="U270" s="34"/>
    </row>
    <row r="271" spans="1:23" s="38" customFormat="1" ht="30" customHeight="1">
      <c r="A271" s="20">
        <v>85110</v>
      </c>
      <c r="B271" s="1224" t="s">
        <v>469</v>
      </c>
      <c r="C271" s="1224"/>
      <c r="D271" s="1224"/>
      <c r="E271" s="153">
        <v>18.2</v>
      </c>
      <c r="F271" s="20" t="s">
        <v>3</v>
      </c>
      <c r="G271" s="248"/>
      <c r="H271" s="248"/>
      <c r="I271" s="281">
        <f>+'2019 MILCON Inflation Table'!F18</f>
        <v>0.94232233454704462</v>
      </c>
      <c r="J271" s="281"/>
      <c r="K271" s="242">
        <f>+E271*I271</f>
        <v>17.150266488756213</v>
      </c>
      <c r="L271" s="20" t="s">
        <v>3</v>
      </c>
      <c r="M271" s="1146"/>
      <c r="N271" s="193"/>
      <c r="O271" s="1119"/>
      <c r="P271" s="39"/>
      <c r="Q271" s="39"/>
      <c r="R271" s="39"/>
      <c r="S271" s="84"/>
      <c r="T271" s="84"/>
      <c r="U271" s="39"/>
    </row>
    <row r="272" spans="1:23" ht="30" customHeight="1">
      <c r="A272" s="20">
        <v>85110</v>
      </c>
      <c r="B272" s="1176" t="s">
        <v>470</v>
      </c>
      <c r="C272" s="1177"/>
      <c r="D272" s="1178"/>
      <c r="E272" s="153">
        <v>58</v>
      </c>
      <c r="F272" s="20" t="s">
        <v>3</v>
      </c>
      <c r="G272" s="248"/>
      <c r="H272" s="248"/>
      <c r="I272" s="281">
        <f>+'2019 MILCON Inflation Table'!F18</f>
        <v>0.94232233454704462</v>
      </c>
      <c r="J272" s="281"/>
      <c r="K272" s="242">
        <f>+E272*I272</f>
        <v>54.654695403728589</v>
      </c>
      <c r="L272" s="20" t="s">
        <v>3</v>
      </c>
      <c r="M272" s="1146"/>
      <c r="P272" s="34"/>
      <c r="Q272" s="34"/>
      <c r="R272" s="34"/>
      <c r="S272" s="44"/>
      <c r="T272" s="44"/>
      <c r="U272" s="34"/>
    </row>
    <row r="273" spans="1:23" ht="30" customHeight="1" thickBot="1">
      <c r="A273" s="20"/>
      <c r="B273" s="1362" t="s">
        <v>471</v>
      </c>
      <c r="C273" s="1363"/>
      <c r="D273" s="1363"/>
      <c r="E273" s="1363"/>
      <c r="F273" s="1363"/>
      <c r="G273" s="1363"/>
      <c r="H273" s="1364"/>
      <c r="I273" s="18"/>
      <c r="J273" s="79" t="s">
        <v>289</v>
      </c>
      <c r="K273" s="107">
        <f>SUM(K270:K272)</f>
        <v>74.38064294024673</v>
      </c>
      <c r="L273" s="20" t="s">
        <v>3</v>
      </c>
      <c r="M273" s="1146"/>
      <c r="P273" s="34"/>
      <c r="Q273" s="34"/>
      <c r="R273" s="34"/>
      <c r="S273" s="44"/>
      <c r="T273" s="44"/>
      <c r="U273" s="34"/>
    </row>
    <row r="274" spans="1:23" ht="30" customHeight="1" thickBot="1">
      <c r="A274" s="1165"/>
      <c r="B274" s="1166"/>
      <c r="C274" s="1166"/>
      <c r="D274" s="1166"/>
      <c r="E274" s="1166"/>
      <c r="F274" s="1166"/>
      <c r="G274" s="1166"/>
      <c r="H274" s="1166"/>
      <c r="I274" s="1166"/>
      <c r="J274" s="1166"/>
      <c r="K274" s="1166"/>
      <c r="L274" s="1167"/>
      <c r="M274" s="1146"/>
      <c r="N274" s="282"/>
      <c r="R274" s="34"/>
      <c r="S274" s="34"/>
      <c r="T274" s="34"/>
      <c r="U274" s="44"/>
      <c r="V274" s="44"/>
      <c r="W274" s="34"/>
    </row>
    <row r="275" spans="1:23" ht="30" customHeight="1">
      <c r="A275" s="27" t="s">
        <v>280</v>
      </c>
      <c r="B275" s="82">
        <v>1493</v>
      </c>
      <c r="C275" s="1197" t="s">
        <v>472</v>
      </c>
      <c r="D275" s="1198"/>
      <c r="E275" s="74" t="s">
        <v>282</v>
      </c>
      <c r="F275" s="75" t="s">
        <v>10</v>
      </c>
      <c r="G275" s="91" t="s">
        <v>281</v>
      </c>
      <c r="H275" s="145">
        <v>1</v>
      </c>
      <c r="I275" s="74" t="s">
        <v>283</v>
      </c>
      <c r="J275" s="1310" t="s">
        <v>2527</v>
      </c>
      <c r="K275" s="1310"/>
      <c r="L275" s="1311"/>
      <c r="M275" s="1146"/>
      <c r="P275" s="34"/>
      <c r="Q275" s="34"/>
      <c r="R275" s="34"/>
      <c r="S275" s="44"/>
      <c r="T275" s="44"/>
      <c r="U275" s="34"/>
    </row>
    <row r="276" spans="1:23" ht="30" customHeight="1">
      <c r="A276" s="37" t="s">
        <v>304</v>
      </c>
      <c r="B276" s="1201" t="s">
        <v>330</v>
      </c>
      <c r="C276" s="1202"/>
      <c r="D276" s="1203"/>
      <c r="E276" s="150" t="s">
        <v>295</v>
      </c>
      <c r="F276" s="150" t="s">
        <v>331</v>
      </c>
      <c r="G276" s="1204" t="s">
        <v>332</v>
      </c>
      <c r="H276" s="1205"/>
      <c r="I276" s="151" t="s">
        <v>305</v>
      </c>
      <c r="J276" s="285"/>
      <c r="K276" s="1312" t="s">
        <v>297</v>
      </c>
      <c r="L276" s="1313"/>
      <c r="M276" s="1146"/>
      <c r="N276" s="963"/>
      <c r="P276" s="34"/>
      <c r="Q276" s="34"/>
      <c r="R276" s="34"/>
      <c r="S276" s="44"/>
      <c r="T276" s="44"/>
      <c r="U276" s="34"/>
    </row>
    <row r="277" spans="1:23" ht="30" customHeight="1">
      <c r="A277" s="45" t="s">
        <v>473</v>
      </c>
      <c r="B277" s="1179" t="s">
        <v>474</v>
      </c>
      <c r="C277" s="1180"/>
      <c r="D277" s="1181"/>
      <c r="E277" s="153">
        <f>+(144+171)/2</f>
        <v>157.5</v>
      </c>
      <c r="F277" s="20" t="s">
        <v>6</v>
      </c>
      <c r="G277" s="271">
        <v>1000</v>
      </c>
      <c r="H277" s="155" t="s">
        <v>475</v>
      </c>
      <c r="I277" s="20">
        <v>1.05</v>
      </c>
      <c r="J277" s="45"/>
      <c r="K277" s="213">
        <f>+E277*I277*G277</f>
        <v>165375</v>
      </c>
      <c r="L277" s="45" t="s">
        <v>10</v>
      </c>
      <c r="M277" s="1146"/>
      <c r="N277" s="963"/>
      <c r="P277" s="34"/>
      <c r="Q277" s="34"/>
      <c r="R277" s="34"/>
      <c r="S277" s="44"/>
      <c r="T277" s="44"/>
      <c r="U277" s="34"/>
    </row>
    <row r="278" spans="1:23" ht="30" customHeight="1">
      <c r="A278" s="45" t="s">
        <v>473</v>
      </c>
      <c r="B278" s="1179" t="s">
        <v>476</v>
      </c>
      <c r="C278" s="1180"/>
      <c r="D278" s="1181"/>
      <c r="E278" s="153">
        <f>+(45200+55500)/2</f>
        <v>50350</v>
      </c>
      <c r="F278" s="20" t="s">
        <v>10</v>
      </c>
      <c r="G278" s="271">
        <v>2</v>
      </c>
      <c r="H278" s="155" t="s">
        <v>286</v>
      </c>
      <c r="I278" s="20">
        <v>1.05</v>
      </c>
      <c r="J278" s="45"/>
      <c r="K278" s="213">
        <f>+E278*I278*G278</f>
        <v>105735</v>
      </c>
      <c r="L278" s="45" t="s">
        <v>10</v>
      </c>
      <c r="M278" s="1146"/>
      <c r="N278" s="963"/>
      <c r="P278" s="34"/>
      <c r="Q278" s="34"/>
      <c r="R278" s="34"/>
      <c r="S278" s="44"/>
      <c r="T278" s="44"/>
      <c r="U278" s="34"/>
    </row>
    <row r="279" spans="1:23" ht="30" customHeight="1">
      <c r="A279" s="45" t="s">
        <v>477</v>
      </c>
      <c r="B279" s="1176" t="s">
        <v>478</v>
      </c>
      <c r="C279" s="1177"/>
      <c r="D279" s="1178"/>
      <c r="E279" s="153">
        <v>20.149999999999999</v>
      </c>
      <c r="F279" s="20" t="s">
        <v>8</v>
      </c>
      <c r="G279" s="271">
        <v>1250</v>
      </c>
      <c r="H279" s="155" t="s">
        <v>479</v>
      </c>
      <c r="I279" s="20">
        <v>1.08</v>
      </c>
      <c r="J279" s="45"/>
      <c r="K279" s="213">
        <f>+E279*I279*G279*4</f>
        <v>108810</v>
      </c>
      <c r="L279" s="45" t="s">
        <v>10</v>
      </c>
      <c r="M279" s="1146"/>
      <c r="P279" s="34"/>
      <c r="Q279" s="34"/>
      <c r="R279" s="34"/>
      <c r="S279" s="44"/>
      <c r="T279" s="44"/>
      <c r="U279" s="34"/>
    </row>
    <row r="280" spans="1:23" ht="30" customHeight="1">
      <c r="A280" s="45" t="s">
        <v>480</v>
      </c>
      <c r="B280" s="1176" t="s">
        <v>481</v>
      </c>
      <c r="C280" s="1177"/>
      <c r="D280" s="1178"/>
      <c r="E280" s="153">
        <v>17.95</v>
      </c>
      <c r="F280" s="20" t="s">
        <v>6</v>
      </c>
      <c r="G280" s="271">
        <v>6000</v>
      </c>
      <c r="H280" s="155" t="s">
        <v>479</v>
      </c>
      <c r="I280" s="20">
        <v>1.07</v>
      </c>
      <c r="J280" s="45"/>
      <c r="K280" s="213">
        <f>+E280*I280*G280</f>
        <v>115239.00000000001</v>
      </c>
      <c r="L280" s="45" t="s">
        <v>10</v>
      </c>
      <c r="M280" s="1146"/>
      <c r="P280" s="34"/>
      <c r="Q280" s="34"/>
      <c r="R280" s="34"/>
      <c r="S280" s="44"/>
      <c r="T280" s="44"/>
      <c r="U280" s="34"/>
    </row>
    <row r="281" spans="1:23" ht="30" customHeight="1">
      <c r="A281" s="45" t="s">
        <v>482</v>
      </c>
      <c r="B281" s="1270" t="s">
        <v>2538</v>
      </c>
      <c r="C281" s="1371"/>
      <c r="D281" s="1372"/>
      <c r="E281" s="153">
        <f>(4.89+6.86)/2</f>
        <v>5.875</v>
      </c>
      <c r="F281" s="45" t="s">
        <v>285</v>
      </c>
      <c r="G281" s="271">
        <v>3216</v>
      </c>
      <c r="H281" s="197" t="s">
        <v>209</v>
      </c>
      <c r="I281" s="20">
        <v>1.07</v>
      </c>
      <c r="J281" s="45"/>
      <c r="K281" s="213">
        <f>E281*I281*G281/9</f>
        <v>2246.2866666666669</v>
      </c>
      <c r="L281" s="45" t="s">
        <v>10</v>
      </c>
      <c r="M281" s="1146"/>
      <c r="O281" s="42"/>
    </row>
    <row r="282" spans="1:23" ht="30" customHeight="1">
      <c r="A282" s="45"/>
      <c r="B282" s="1001"/>
      <c r="C282" s="1002"/>
      <c r="D282" s="1003"/>
      <c r="E282" s="213"/>
      <c r="F282" s="45"/>
      <c r="G282" s="1176"/>
      <c r="H282" s="1178"/>
      <c r="I282" s="45"/>
      <c r="J282" s="45" t="s">
        <v>379</v>
      </c>
      <c r="K282" s="213">
        <f>SUM(K277:K281)</f>
        <v>497405.28666666668</v>
      </c>
      <c r="L282" s="45" t="s">
        <v>10</v>
      </c>
      <c r="M282" s="1146"/>
    </row>
    <row r="283" spans="1:23" ht="30" customHeight="1">
      <c r="A283" s="45"/>
      <c r="B283" s="1176"/>
      <c r="C283" s="1177"/>
      <c r="D283" s="1178"/>
      <c r="E283" s="213"/>
      <c r="F283" s="1367" t="s">
        <v>308</v>
      </c>
      <c r="G283" s="1369" t="s">
        <v>309</v>
      </c>
      <c r="H283" s="1369"/>
      <c r="I283" s="1369"/>
      <c r="J283" s="1369"/>
      <c r="K283" s="123">
        <v>1.03</v>
      </c>
      <c r="L283" s="24"/>
      <c r="M283" s="1146"/>
      <c r="P283" s="34"/>
      <c r="Q283" s="34"/>
      <c r="R283" s="34"/>
      <c r="S283" s="44"/>
      <c r="T283" s="44"/>
      <c r="U283" s="34"/>
    </row>
    <row r="284" spans="1:23" s="38" customFormat="1" ht="30" customHeight="1">
      <c r="A284" s="45"/>
      <c r="B284" s="189"/>
      <c r="C284" s="189"/>
      <c r="D284" s="189"/>
      <c r="E284" s="213"/>
      <c r="F284" s="1368"/>
      <c r="G284" s="1370" t="s">
        <v>310</v>
      </c>
      <c r="H284" s="1370"/>
      <c r="I284" s="1370"/>
      <c r="J284" s="1370"/>
      <c r="K284" s="123">
        <v>1.07</v>
      </c>
      <c r="L284" s="24"/>
      <c r="M284" s="1146"/>
      <c r="N284" s="193"/>
      <c r="O284" s="1119"/>
      <c r="P284" s="39"/>
      <c r="Q284" s="39"/>
      <c r="R284" s="39"/>
      <c r="S284" s="84"/>
      <c r="T284" s="84"/>
      <c r="U284" s="39"/>
    </row>
    <row r="285" spans="1:23" ht="30" customHeight="1">
      <c r="A285" s="45"/>
      <c r="B285" s="45"/>
      <c r="C285" s="46"/>
      <c r="D285" s="46"/>
      <c r="E285" s="46"/>
      <c r="F285" s="46"/>
      <c r="G285" s="46"/>
      <c r="H285" s="46"/>
      <c r="I285" s="46"/>
      <c r="J285" s="45" t="s">
        <v>289</v>
      </c>
      <c r="K285" s="21">
        <f>+K282*K283/K284</f>
        <v>478810.69651090342</v>
      </c>
      <c r="L285" s="45" t="s">
        <v>10</v>
      </c>
      <c r="M285" s="1146"/>
      <c r="P285" s="34"/>
      <c r="Q285" s="34"/>
      <c r="R285" s="34"/>
      <c r="S285" s="44"/>
      <c r="T285" s="44"/>
      <c r="U285" s="34"/>
    </row>
    <row r="286" spans="1:23" ht="30" customHeight="1" thickBot="1">
      <c r="A286" s="45"/>
      <c r="B286" s="45"/>
      <c r="C286" s="46"/>
      <c r="D286" s="46"/>
      <c r="E286" s="46"/>
      <c r="F286" s="46"/>
      <c r="G286" s="176" t="s">
        <v>312</v>
      </c>
      <c r="H286" s="46"/>
      <c r="I286" s="46"/>
      <c r="J286" s="139">
        <f>VLOOKUP(B275,'Mil Cost Premiums for RUCs'!$A$4:$R$266,18,FALSE)</f>
        <v>1.1199953840399997</v>
      </c>
      <c r="K286" s="21">
        <f>+K285*J286</f>
        <v>536265.76992118894</v>
      </c>
      <c r="L286" s="45" t="s">
        <v>10</v>
      </c>
      <c r="M286" s="1146"/>
      <c r="P286" s="34"/>
      <c r="Q286" s="34"/>
      <c r="R286" s="34"/>
      <c r="S286" s="44"/>
      <c r="T286" s="44"/>
      <c r="U286" s="34"/>
    </row>
    <row r="287" spans="1:23" ht="30" customHeight="1" thickBot="1">
      <c r="A287" s="1165"/>
      <c r="B287" s="1166"/>
      <c r="C287" s="1166"/>
      <c r="D287" s="1166"/>
      <c r="E287" s="1166"/>
      <c r="F287" s="1166"/>
      <c r="G287" s="1166"/>
      <c r="H287" s="1166"/>
      <c r="I287" s="1166"/>
      <c r="J287" s="1166"/>
      <c r="K287" s="1166"/>
      <c r="L287" s="1167"/>
      <c r="M287" s="1146"/>
      <c r="N287" s="282"/>
      <c r="R287" s="34"/>
      <c r="S287" s="34"/>
      <c r="T287" s="34"/>
      <c r="U287" s="44"/>
      <c r="V287" s="44"/>
      <c r="W287" s="34"/>
    </row>
    <row r="288" spans="1:23" ht="30" customHeight="1">
      <c r="A288" s="27" t="s">
        <v>280</v>
      </c>
      <c r="B288" s="82">
        <v>1494</v>
      </c>
      <c r="C288" s="1228" t="s">
        <v>483</v>
      </c>
      <c r="D288" s="1229"/>
      <c r="E288" s="74" t="s">
        <v>282</v>
      </c>
      <c r="F288" s="75" t="s">
        <v>10</v>
      </c>
      <c r="G288" s="91" t="s">
        <v>281</v>
      </c>
      <c r="H288" s="145">
        <v>1</v>
      </c>
      <c r="I288" s="74" t="s">
        <v>283</v>
      </c>
      <c r="J288" s="1199" t="s">
        <v>2569</v>
      </c>
      <c r="K288" s="1230"/>
      <c r="L288" s="1231"/>
      <c r="M288" s="1146"/>
      <c r="P288" s="34"/>
      <c r="Q288" s="34"/>
      <c r="R288" s="34"/>
      <c r="S288" s="44"/>
      <c r="T288" s="44"/>
      <c r="U288" s="34"/>
    </row>
    <row r="289" spans="1:23" ht="30" customHeight="1">
      <c r="A289" s="35" t="s">
        <v>293</v>
      </c>
      <c r="B289" s="1232" t="s">
        <v>284</v>
      </c>
      <c r="C289" s="1232"/>
      <c r="D289" s="1232"/>
      <c r="E289" s="96" t="s">
        <v>295</v>
      </c>
      <c r="F289" s="278" t="s">
        <v>2</v>
      </c>
      <c r="G289" s="1365" t="s">
        <v>332</v>
      </c>
      <c r="H289" s="1366"/>
      <c r="I289" s="1233" t="s">
        <v>296</v>
      </c>
      <c r="J289" s="1234"/>
      <c r="K289" s="1206" t="s">
        <v>297</v>
      </c>
      <c r="L289" s="1207"/>
      <c r="M289" s="1146"/>
      <c r="N289" s="963"/>
      <c r="P289" s="34"/>
      <c r="Q289" s="34"/>
      <c r="R289" s="34"/>
      <c r="S289" s="44"/>
      <c r="T289" s="44"/>
      <c r="U289" s="34"/>
    </row>
    <row r="290" spans="1:23" ht="30" customHeight="1">
      <c r="A290" s="45">
        <v>93410</v>
      </c>
      <c r="B290" s="1176" t="s">
        <v>467</v>
      </c>
      <c r="C290" s="1177"/>
      <c r="D290" s="1178"/>
      <c r="E290" s="153">
        <v>8.1999999999999993</v>
      </c>
      <c r="F290" s="20" t="s">
        <v>285</v>
      </c>
      <c r="G290" s="286">
        <v>3</v>
      </c>
      <c r="H290" s="286" t="s">
        <v>468</v>
      </c>
      <c r="I290" s="1192">
        <f>+'2019 MILCON Inflation Table'!$F$18</f>
        <v>0.94232233454704462</v>
      </c>
      <c r="J290" s="1193"/>
      <c r="K290" s="106">
        <f>+E290/G290*I290</f>
        <v>2.5756810477619214</v>
      </c>
      <c r="L290" s="97" t="s">
        <v>3</v>
      </c>
      <c r="M290" s="1146"/>
      <c r="N290" s="963"/>
      <c r="P290" s="34"/>
      <c r="Q290" s="34"/>
      <c r="R290" s="34"/>
      <c r="S290" s="44"/>
      <c r="T290" s="44"/>
      <c r="U290" s="34"/>
    </row>
    <row r="291" spans="1:23" ht="30" customHeight="1">
      <c r="A291" s="45">
        <v>85110</v>
      </c>
      <c r="B291" s="1224" t="s">
        <v>484</v>
      </c>
      <c r="C291" s="1224"/>
      <c r="D291" s="1224"/>
      <c r="E291" s="153">
        <v>12.7</v>
      </c>
      <c r="F291" s="20" t="s">
        <v>3</v>
      </c>
      <c r="G291" s="100"/>
      <c r="H291" s="100"/>
      <c r="I291" s="1192">
        <f>+'2019 MILCON Inflation Table'!$F$18</f>
        <v>0.94232233454704462</v>
      </c>
      <c r="J291" s="1193"/>
      <c r="K291" s="106">
        <f>+E291*I291</f>
        <v>11.967493648747466</v>
      </c>
      <c r="L291" s="97" t="s">
        <v>3</v>
      </c>
      <c r="M291" s="1146"/>
      <c r="N291" s="963"/>
      <c r="P291" s="34"/>
      <c r="Q291" s="34"/>
      <c r="R291" s="34"/>
      <c r="S291" s="44"/>
      <c r="T291" s="44"/>
      <c r="U291" s="34"/>
    </row>
    <row r="292" spans="1:23" ht="30" customHeight="1">
      <c r="A292" s="45">
        <v>85110</v>
      </c>
      <c r="B292" s="1176" t="s">
        <v>485</v>
      </c>
      <c r="C292" s="1177"/>
      <c r="D292" s="1178"/>
      <c r="E292" s="153">
        <v>18.5</v>
      </c>
      <c r="F292" s="20" t="s">
        <v>3</v>
      </c>
      <c r="G292" s="100"/>
      <c r="H292" s="100"/>
      <c r="I292" s="1192">
        <f>+'2019 MILCON Inflation Table'!$F$18</f>
        <v>0.94232233454704462</v>
      </c>
      <c r="J292" s="1193"/>
      <c r="K292" s="106">
        <f>+E292*I292</f>
        <v>17.432963189120326</v>
      </c>
      <c r="L292" s="97" t="s">
        <v>3</v>
      </c>
      <c r="M292" s="1146"/>
      <c r="P292" s="34"/>
      <c r="Q292" s="34"/>
      <c r="R292" s="34"/>
      <c r="S292" s="44"/>
      <c r="T292" s="44"/>
      <c r="U292" s="34"/>
    </row>
    <row r="293" spans="1:23" ht="30" customHeight="1">
      <c r="A293" s="45"/>
      <c r="B293" s="194"/>
      <c r="C293" s="208"/>
      <c r="D293" s="208"/>
      <c r="E293" s="287"/>
      <c r="F293" s="288"/>
      <c r="G293" s="200"/>
      <c r="H293" s="289"/>
      <c r="I293" s="290"/>
      <c r="J293" s="290" t="s">
        <v>346</v>
      </c>
      <c r="K293" s="106">
        <f>SUM(K290:K292)</f>
        <v>31.976137885629711</v>
      </c>
      <c r="L293" s="97" t="s">
        <v>3</v>
      </c>
      <c r="M293" s="1146"/>
      <c r="P293" s="34"/>
      <c r="Q293" s="34"/>
      <c r="R293" s="34"/>
      <c r="S293" s="44"/>
      <c r="T293" s="44"/>
      <c r="U293" s="34"/>
    </row>
    <row r="294" spans="1:23" ht="30" customHeight="1">
      <c r="A294" s="45"/>
      <c r="B294" s="1224" t="s">
        <v>2643</v>
      </c>
      <c r="C294" s="1224"/>
      <c r="D294" s="1224"/>
      <c r="E294" s="1048">
        <v>1411</v>
      </c>
      <c r="F294" s="20" t="s">
        <v>3</v>
      </c>
      <c r="G294" s="200"/>
      <c r="H294" s="289"/>
      <c r="I294" s="291"/>
      <c r="J294" s="291"/>
      <c r="K294" s="106">
        <f>+K293*E294</f>
        <v>45118.330556623521</v>
      </c>
      <c r="L294" s="97" t="s">
        <v>10</v>
      </c>
      <c r="M294" s="1146"/>
      <c r="O294" s="42"/>
    </row>
    <row r="295" spans="1:23" ht="30" customHeight="1" thickBot="1">
      <c r="A295" s="45"/>
      <c r="B295" s="1376" t="s">
        <v>486</v>
      </c>
      <c r="C295" s="1377"/>
      <c r="D295" s="1377"/>
      <c r="E295" s="1377"/>
      <c r="F295" s="1377"/>
      <c r="G295" s="1377"/>
      <c r="H295" s="1378"/>
      <c r="I295" s="18"/>
      <c r="J295" s="79" t="s">
        <v>289</v>
      </c>
      <c r="K295" s="107">
        <f>+K294</f>
        <v>45118.330556623521</v>
      </c>
      <c r="L295" s="97" t="s">
        <v>10</v>
      </c>
      <c r="M295" s="1146"/>
    </row>
    <row r="296" spans="1:23" ht="30" customHeight="1" thickBot="1">
      <c r="A296" s="1165"/>
      <c r="B296" s="1166"/>
      <c r="C296" s="1166"/>
      <c r="D296" s="1166"/>
      <c r="E296" s="1166"/>
      <c r="F296" s="1166"/>
      <c r="G296" s="1166"/>
      <c r="H296" s="1166"/>
      <c r="I296" s="1166"/>
      <c r="J296" s="1166"/>
      <c r="K296" s="1166"/>
      <c r="L296" s="1167"/>
      <c r="M296" s="1146"/>
      <c r="P296" s="34"/>
      <c r="Q296" s="34"/>
      <c r="R296" s="34"/>
      <c r="S296" s="44"/>
      <c r="T296" s="44"/>
      <c r="U296" s="34"/>
    </row>
    <row r="297" spans="1:23" s="38" customFormat="1" ht="30" customHeight="1">
      <c r="A297" s="108" t="s">
        <v>280</v>
      </c>
      <c r="B297" s="163">
        <v>1495</v>
      </c>
      <c r="C297" s="1379" t="s">
        <v>487</v>
      </c>
      <c r="D297" s="1380"/>
      <c r="E297" s="216" t="s">
        <v>282</v>
      </c>
      <c r="F297" s="217" t="s">
        <v>10</v>
      </c>
      <c r="G297" s="292" t="s">
        <v>281</v>
      </c>
      <c r="H297" s="293">
        <v>1</v>
      </c>
      <c r="I297" s="216" t="s">
        <v>283</v>
      </c>
      <c r="J297" s="1310" t="s">
        <v>2527</v>
      </c>
      <c r="K297" s="1310"/>
      <c r="L297" s="1311"/>
      <c r="M297" s="1146"/>
      <c r="N297" s="193"/>
      <c r="O297" s="1119"/>
      <c r="P297" s="39"/>
      <c r="Q297" s="39"/>
      <c r="R297" s="39"/>
      <c r="S297" s="84"/>
      <c r="T297" s="84"/>
      <c r="U297" s="39"/>
    </row>
    <row r="298" spans="1:23" ht="30" customHeight="1">
      <c r="A298" s="294" t="s">
        <v>304</v>
      </c>
      <c r="B298" s="1324" t="s">
        <v>330</v>
      </c>
      <c r="C298" s="1325"/>
      <c r="D298" s="1326"/>
      <c r="E298" s="219" t="s">
        <v>295</v>
      </c>
      <c r="F298" s="219" t="s">
        <v>331</v>
      </c>
      <c r="G298" s="1327" t="s">
        <v>332</v>
      </c>
      <c r="H298" s="1328"/>
      <c r="I298" s="167" t="s">
        <v>305</v>
      </c>
      <c r="J298" s="167"/>
      <c r="K298" s="1206" t="s">
        <v>297</v>
      </c>
      <c r="L298" s="1207"/>
      <c r="M298" s="1146"/>
      <c r="P298" s="34"/>
      <c r="Q298" s="34"/>
      <c r="R298" s="34"/>
      <c r="S298" s="44"/>
      <c r="T298" s="44"/>
      <c r="U298" s="34"/>
    </row>
    <row r="299" spans="1:23" ht="30" customHeight="1">
      <c r="A299" s="24" t="s">
        <v>482</v>
      </c>
      <c r="B299" s="1162" t="s">
        <v>488</v>
      </c>
      <c r="C299" s="1163"/>
      <c r="D299" s="1164"/>
      <c r="E299" s="295">
        <v>29.75</v>
      </c>
      <c r="F299" s="5" t="s">
        <v>285</v>
      </c>
      <c r="G299" s="296">
        <v>177</v>
      </c>
      <c r="H299" s="297" t="s">
        <v>489</v>
      </c>
      <c r="I299" s="10">
        <v>1.07</v>
      </c>
      <c r="J299" s="10"/>
      <c r="K299" s="298">
        <f>+E299*G299*I299</f>
        <v>5634.3525</v>
      </c>
      <c r="L299" s="5" t="s">
        <v>10</v>
      </c>
      <c r="M299" s="1146"/>
      <c r="P299" s="34"/>
      <c r="Q299" s="34"/>
      <c r="R299" s="34"/>
      <c r="S299" s="44"/>
      <c r="T299" s="44"/>
      <c r="U299" s="34"/>
    </row>
    <row r="300" spans="1:23" ht="30" customHeight="1">
      <c r="A300" s="24" t="s">
        <v>482</v>
      </c>
      <c r="B300" s="1182" t="s">
        <v>490</v>
      </c>
      <c r="C300" s="1183"/>
      <c r="D300" s="1184"/>
      <c r="E300" s="295">
        <v>11.6</v>
      </c>
      <c r="F300" s="5" t="s">
        <v>285</v>
      </c>
      <c r="G300" s="296">
        <v>177</v>
      </c>
      <c r="H300" s="297" t="s">
        <v>489</v>
      </c>
      <c r="I300" s="10">
        <v>1.07</v>
      </c>
      <c r="J300" s="10"/>
      <c r="K300" s="298">
        <f>+E300*G300*I300</f>
        <v>2196.924</v>
      </c>
      <c r="L300" s="5" t="s">
        <v>10</v>
      </c>
      <c r="M300" s="1146"/>
      <c r="N300" s="282"/>
      <c r="R300" s="34"/>
      <c r="S300" s="34"/>
      <c r="T300" s="34"/>
      <c r="U300" s="44"/>
      <c r="V300" s="44"/>
      <c r="W300" s="34"/>
    </row>
    <row r="301" spans="1:23" ht="30" customHeight="1">
      <c r="A301" s="24" t="s">
        <v>482</v>
      </c>
      <c r="B301" s="1182" t="s">
        <v>491</v>
      </c>
      <c r="C301" s="1183"/>
      <c r="D301" s="1184"/>
      <c r="E301" s="299">
        <f>+(81.5+247)/2</f>
        <v>164.25</v>
      </c>
      <c r="F301" s="5" t="s">
        <v>3</v>
      </c>
      <c r="G301" s="296">
        <v>133</v>
      </c>
      <c r="H301" s="297" t="s">
        <v>492</v>
      </c>
      <c r="I301" s="10">
        <v>1.07</v>
      </c>
      <c r="J301" s="10"/>
      <c r="K301" s="298">
        <f>+E301*G301*I301</f>
        <v>23374.4175</v>
      </c>
      <c r="L301" s="5" t="s">
        <v>10</v>
      </c>
      <c r="M301" s="1146"/>
      <c r="P301" s="34"/>
      <c r="Q301" s="34"/>
      <c r="R301" s="34"/>
      <c r="S301" s="44"/>
      <c r="T301" s="44"/>
      <c r="U301" s="34"/>
    </row>
    <row r="302" spans="1:23" ht="30" customHeight="1">
      <c r="A302" s="24" t="s">
        <v>482</v>
      </c>
      <c r="B302" s="13" t="s">
        <v>493</v>
      </c>
      <c r="C302" s="232"/>
      <c r="D302" s="233"/>
      <c r="E302" s="299">
        <f>+(0.61+4.54)/2</f>
        <v>2.5750000000000002</v>
      </c>
      <c r="F302" s="5" t="s">
        <v>3</v>
      </c>
      <c r="G302" s="296">
        <v>133</v>
      </c>
      <c r="H302" s="297" t="s">
        <v>492</v>
      </c>
      <c r="I302" s="10">
        <v>1.07</v>
      </c>
      <c r="J302" s="10"/>
      <c r="K302" s="298">
        <f>+E302*G302*I302</f>
        <v>366.44825000000003</v>
      </c>
      <c r="L302" s="5" t="s">
        <v>10</v>
      </c>
      <c r="M302" s="1146"/>
      <c r="N302" s="963"/>
      <c r="P302" s="34"/>
      <c r="Q302" s="34"/>
      <c r="R302" s="34"/>
      <c r="S302" s="44"/>
      <c r="T302" s="44"/>
      <c r="U302" s="34"/>
    </row>
    <row r="303" spans="1:23" ht="30" customHeight="1">
      <c r="A303" s="24"/>
      <c r="B303" s="1375" t="s">
        <v>494</v>
      </c>
      <c r="C303" s="1375"/>
      <c r="D303" s="1375"/>
      <c r="E303" s="300"/>
      <c r="F303" s="5"/>
      <c r="G303" s="296"/>
      <c r="H303" s="297"/>
      <c r="I303" s="10"/>
      <c r="J303" s="10"/>
      <c r="K303" s="298"/>
      <c r="L303" s="5"/>
      <c r="M303" s="1146"/>
      <c r="N303" s="963"/>
      <c r="P303" s="34"/>
      <c r="Q303" s="34"/>
      <c r="R303" s="34"/>
      <c r="S303" s="44"/>
      <c r="T303" s="44"/>
      <c r="U303" s="34"/>
    </row>
    <row r="304" spans="1:23" ht="30" customHeight="1">
      <c r="A304" s="47"/>
      <c r="B304" s="301"/>
      <c r="C304" s="302"/>
      <c r="D304" s="302"/>
      <c r="E304" s="303"/>
      <c r="F304" s="10"/>
      <c r="G304" s="10"/>
      <c r="H304" s="10"/>
      <c r="I304" s="10"/>
      <c r="J304" s="10" t="s">
        <v>379</v>
      </c>
      <c r="K304" s="304">
        <f>SUM(K299:K303)</f>
        <v>31572.142250000001</v>
      </c>
      <c r="L304" s="10" t="s">
        <v>10</v>
      </c>
      <c r="M304" s="1146"/>
      <c r="P304" s="34"/>
      <c r="Q304" s="34"/>
      <c r="R304" s="34"/>
      <c r="S304" s="44"/>
      <c r="T304" s="44"/>
      <c r="U304" s="34"/>
    </row>
    <row r="305" spans="1:21" ht="30" customHeight="1">
      <c r="A305" s="45"/>
      <c r="B305" s="157"/>
      <c r="C305" s="157"/>
      <c r="D305" s="157"/>
      <c r="E305" s="153"/>
      <c r="F305" s="1174" t="s">
        <v>308</v>
      </c>
      <c r="G305" s="1208" t="s">
        <v>309</v>
      </c>
      <c r="H305" s="1208"/>
      <c r="I305" s="1208"/>
      <c r="J305" s="1208"/>
      <c r="K305" s="123">
        <v>1.06</v>
      </c>
      <c r="L305" s="10"/>
      <c r="M305" s="1146"/>
      <c r="P305" s="34"/>
      <c r="Q305" s="34"/>
      <c r="R305" s="34"/>
      <c r="S305" s="44"/>
      <c r="T305" s="44"/>
      <c r="U305" s="34"/>
    </row>
    <row r="306" spans="1:21" ht="30" customHeight="1">
      <c r="A306" s="45"/>
      <c r="B306" s="157"/>
      <c r="C306" s="157"/>
      <c r="D306" s="157"/>
      <c r="E306" s="153"/>
      <c r="F306" s="1175"/>
      <c r="G306" s="1209" t="s">
        <v>310</v>
      </c>
      <c r="H306" s="1209"/>
      <c r="I306" s="1209"/>
      <c r="J306" s="1209"/>
      <c r="K306" s="123">
        <v>1.07</v>
      </c>
      <c r="L306" s="10"/>
      <c r="M306" s="1146"/>
      <c r="O306" s="42"/>
    </row>
    <row r="307" spans="1:21" ht="30" customHeight="1">
      <c r="A307" s="47"/>
      <c r="B307" s="24"/>
      <c r="C307" s="47"/>
      <c r="D307" s="47"/>
      <c r="E307" s="47"/>
      <c r="F307" s="47"/>
      <c r="G307" s="47"/>
      <c r="H307" s="47"/>
      <c r="I307" s="47"/>
      <c r="J307" s="24" t="s">
        <v>289</v>
      </c>
      <c r="K307" s="305">
        <f>+K304*K305/K306</f>
        <v>31277.075500000003</v>
      </c>
      <c r="L307" s="24" t="s">
        <v>10</v>
      </c>
      <c r="M307" s="1146"/>
    </row>
    <row r="308" spans="1:21" ht="30" customHeight="1">
      <c r="A308" s="47"/>
      <c r="B308" s="24"/>
      <c r="C308" s="47"/>
      <c r="D308" s="47"/>
      <c r="E308" s="47"/>
      <c r="F308" s="47"/>
      <c r="G308" s="306" t="s">
        <v>385</v>
      </c>
      <c r="H308" s="47"/>
      <c r="I308" s="47"/>
      <c r="J308" s="139">
        <f>VLOOKUP(B297,'Mil Cost Premiums for RUCs'!$A$4:$R$266,18,FALSE)</f>
        <v>1.0209999999999999</v>
      </c>
      <c r="K308" s="305">
        <f>+K307*J308</f>
        <v>31933.8940855</v>
      </c>
      <c r="L308" s="24" t="s">
        <v>10</v>
      </c>
      <c r="M308" s="1146"/>
      <c r="P308" s="34"/>
      <c r="Q308" s="34"/>
      <c r="R308" s="34"/>
      <c r="S308" s="44"/>
      <c r="T308" s="44"/>
      <c r="U308" s="34"/>
    </row>
    <row r="309" spans="1:21" s="38" customFormat="1" ht="81" customHeight="1">
      <c r="A309" s="1271" t="s">
        <v>313</v>
      </c>
      <c r="B309" s="1272"/>
      <c r="C309" s="1272"/>
      <c r="D309" s="1272"/>
      <c r="E309" s="1272"/>
      <c r="F309" s="1272"/>
      <c r="G309" s="1272"/>
      <c r="H309" s="1272"/>
      <c r="I309" s="1272"/>
      <c r="J309" s="1272"/>
      <c r="K309" s="1272"/>
      <c r="L309" s="1273"/>
      <c r="M309" s="1146"/>
      <c r="N309" s="193"/>
      <c r="O309" s="1119"/>
      <c r="P309" s="39"/>
      <c r="Q309" s="39"/>
      <c r="R309" s="39"/>
      <c r="S309" s="84"/>
      <c r="T309" s="84"/>
      <c r="U309" s="39"/>
    </row>
    <row r="310" spans="1:21" s="32" customFormat="1" ht="30" customHeight="1">
      <c r="A310" s="1248" t="s">
        <v>314</v>
      </c>
      <c r="B310" s="1274"/>
      <c r="C310" s="1274"/>
      <c r="D310" s="1270" t="s">
        <v>495</v>
      </c>
      <c r="E310" s="1373"/>
      <c r="F310" s="1373"/>
      <c r="G310" s="1373"/>
      <c r="H310" s="1373"/>
      <c r="I310" s="1373"/>
      <c r="J310" s="1373"/>
      <c r="K310" s="1373"/>
      <c r="L310" s="1374"/>
      <c r="M310" s="1146"/>
      <c r="N310" s="950"/>
      <c r="O310" s="33"/>
    </row>
    <row r="311" spans="1:21" ht="30" customHeight="1">
      <c r="A311" s="1248" t="s">
        <v>316</v>
      </c>
      <c r="B311" s="1274"/>
      <c r="C311" s="1274"/>
      <c r="D311" s="1331" t="s">
        <v>496</v>
      </c>
      <c r="E311" s="1322"/>
      <c r="F311" s="1322"/>
      <c r="G311" s="1322"/>
      <c r="H311" s="1322"/>
      <c r="I311" s="1322"/>
      <c r="J311" s="1322"/>
      <c r="K311" s="1322"/>
      <c r="L311" s="1323"/>
      <c r="M311" s="1146"/>
      <c r="N311" s="193"/>
    </row>
    <row r="312" spans="1:21" ht="30" customHeight="1">
      <c r="A312" s="1248" t="s">
        <v>317</v>
      </c>
      <c r="B312" s="1274"/>
      <c r="C312" s="1274"/>
      <c r="D312" s="1331" t="s">
        <v>2594</v>
      </c>
      <c r="E312" s="1256"/>
      <c r="F312" s="1256"/>
      <c r="G312" s="1256"/>
      <c r="H312" s="1256"/>
      <c r="I312" s="1256"/>
      <c r="J312" s="1256"/>
      <c r="K312" s="1256"/>
      <c r="L312" s="1257"/>
      <c r="M312" s="1146"/>
    </row>
    <row r="313" spans="1:21" ht="30" customHeight="1">
      <c r="A313" s="1248" t="s">
        <v>318</v>
      </c>
      <c r="B313" s="1274"/>
      <c r="C313" s="1274"/>
      <c r="D313" s="1331" t="s">
        <v>497</v>
      </c>
      <c r="E313" s="1322"/>
      <c r="F313" s="1322"/>
      <c r="G313" s="1322"/>
      <c r="H313" s="1322"/>
      <c r="I313" s="1322"/>
      <c r="J313" s="1322"/>
      <c r="K313" s="1322"/>
      <c r="L313" s="1323"/>
      <c r="M313" s="1146"/>
      <c r="P313" s="34"/>
      <c r="Q313" s="34"/>
      <c r="R313" s="34"/>
      <c r="S313" s="44"/>
      <c r="T313" s="44"/>
      <c r="U313" s="34"/>
    </row>
    <row r="314" spans="1:21" s="38" customFormat="1" ht="30" customHeight="1">
      <c r="A314" s="1248" t="s">
        <v>320</v>
      </c>
      <c r="B314" s="1274"/>
      <c r="C314" s="1274"/>
      <c r="D314" s="1331" t="s">
        <v>321</v>
      </c>
      <c r="E314" s="1322"/>
      <c r="F314" s="1322"/>
      <c r="G314" s="1322"/>
      <c r="H314" s="1322"/>
      <c r="I314" s="1322"/>
      <c r="J314" s="1322"/>
      <c r="K314" s="1322"/>
      <c r="L314" s="1323"/>
      <c r="M314" s="1146"/>
      <c r="N314" s="193"/>
      <c r="O314" s="1119"/>
      <c r="P314" s="39"/>
      <c r="Q314" s="39"/>
      <c r="R314" s="39"/>
      <c r="S314" s="84"/>
      <c r="T314" s="84"/>
      <c r="U314" s="39"/>
    </row>
    <row r="315" spans="1:21" s="32" customFormat="1" ht="30" customHeight="1">
      <c r="A315" s="1248" t="s">
        <v>322</v>
      </c>
      <c r="B315" s="1274"/>
      <c r="C315" s="1274"/>
      <c r="D315" s="1331" t="s">
        <v>323</v>
      </c>
      <c r="E315" s="1322"/>
      <c r="F315" s="1322"/>
      <c r="G315" s="1322"/>
      <c r="H315" s="1322"/>
      <c r="I315" s="1322"/>
      <c r="J315" s="1322"/>
      <c r="K315" s="1322"/>
      <c r="L315" s="1323"/>
      <c r="M315" s="1146"/>
      <c r="N315" s="615"/>
      <c r="O315" s="33"/>
    </row>
    <row r="316" spans="1:21" ht="30" customHeight="1">
      <c r="A316" s="1248" t="s">
        <v>324</v>
      </c>
      <c r="B316" s="1274"/>
      <c r="C316" s="1274"/>
      <c r="D316" s="1331" t="s">
        <v>498</v>
      </c>
      <c r="E316" s="1322"/>
      <c r="F316" s="1322"/>
      <c r="G316" s="1322"/>
      <c r="H316" s="1322"/>
      <c r="I316" s="1322"/>
      <c r="J316" s="1322"/>
      <c r="K316" s="1322"/>
      <c r="L316" s="1323"/>
      <c r="M316" s="1146"/>
    </row>
    <row r="317" spans="1:21" ht="60" customHeight="1">
      <c r="A317" s="1248" t="s">
        <v>499</v>
      </c>
      <c r="B317" s="1274"/>
      <c r="C317" s="1274"/>
      <c r="D317" s="1341" t="s">
        <v>391</v>
      </c>
      <c r="E317" s="1342"/>
      <c r="F317" s="1342"/>
      <c r="G317" s="1342"/>
      <c r="H317" s="1342"/>
      <c r="I317" s="1342"/>
      <c r="J317" s="1342"/>
      <c r="K317" s="1342"/>
      <c r="L317" s="1342"/>
      <c r="M317" s="1146"/>
    </row>
    <row r="318" spans="1:21" ht="64.5" customHeight="1" thickBot="1">
      <c r="A318" s="1331" t="s">
        <v>327</v>
      </c>
      <c r="B318" s="1322"/>
      <c r="C318" s="1323"/>
      <c r="D318" s="1270" t="s">
        <v>2539</v>
      </c>
      <c r="E318" s="1256"/>
      <c r="F318" s="1256"/>
      <c r="G318" s="1256"/>
      <c r="H318" s="1256"/>
      <c r="I318" s="1256"/>
      <c r="J318" s="1256"/>
      <c r="K318" s="1256"/>
      <c r="L318" s="1257"/>
      <c r="M318" s="1146"/>
      <c r="P318" s="34"/>
      <c r="Q318" s="34"/>
      <c r="R318" s="34"/>
      <c r="S318" s="44"/>
      <c r="T318" s="44"/>
      <c r="U318" s="34"/>
    </row>
    <row r="319" spans="1:21" s="38" customFormat="1" ht="30" customHeight="1" thickBot="1">
      <c r="A319" s="1165"/>
      <c r="B319" s="1166"/>
      <c r="C319" s="1166"/>
      <c r="D319" s="1166"/>
      <c r="E319" s="1166"/>
      <c r="F319" s="1166"/>
      <c r="G319" s="1166"/>
      <c r="H319" s="1166"/>
      <c r="I319" s="1166"/>
      <c r="J319" s="1166"/>
      <c r="K319" s="1166"/>
      <c r="L319" s="1167"/>
      <c r="M319" s="1146"/>
      <c r="N319" s="982"/>
      <c r="O319" s="1119"/>
      <c r="P319" s="39"/>
      <c r="Q319" s="39"/>
      <c r="R319" s="39"/>
      <c r="S319" s="84"/>
      <c r="T319" s="84"/>
      <c r="U319" s="39"/>
    </row>
    <row r="320" spans="1:21" s="32" customFormat="1" ht="30" customHeight="1">
      <c r="A320" s="27" t="s">
        <v>280</v>
      </c>
      <c r="B320" s="82">
        <v>1496</v>
      </c>
      <c r="C320" s="1228" t="s">
        <v>2595</v>
      </c>
      <c r="D320" s="1229"/>
      <c r="E320" s="74" t="s">
        <v>282</v>
      </c>
      <c r="F320" s="75" t="s">
        <v>8</v>
      </c>
      <c r="G320" s="58" t="s">
        <v>290</v>
      </c>
      <c r="H320" s="215">
        <v>21735</v>
      </c>
      <c r="I320" s="74" t="s">
        <v>283</v>
      </c>
      <c r="J320" s="1199" t="s">
        <v>2921</v>
      </c>
      <c r="K320" s="1230"/>
      <c r="L320" s="1231"/>
      <c r="M320" s="1146"/>
      <c r="N320" s="982"/>
      <c r="O320" s="33"/>
    </row>
    <row r="321" spans="1:21" s="32" customFormat="1" ht="30" customHeight="1">
      <c r="A321" s="35" t="s">
        <v>293</v>
      </c>
      <c r="B321" s="1232" t="s">
        <v>284</v>
      </c>
      <c r="C321" s="1232"/>
      <c r="D321" s="1232"/>
      <c r="E321" s="78" t="s">
        <v>294</v>
      </c>
      <c r="F321" s="96" t="s">
        <v>295</v>
      </c>
      <c r="G321" s="1365" t="s">
        <v>332</v>
      </c>
      <c r="H321" s="1366"/>
      <c r="I321" s="1233" t="s">
        <v>426</v>
      </c>
      <c r="J321" s="1234"/>
      <c r="K321" s="1206" t="s">
        <v>297</v>
      </c>
      <c r="L321" s="1207"/>
      <c r="M321" s="1146"/>
      <c r="N321" s="125"/>
      <c r="O321" s="33"/>
    </row>
    <row r="322" spans="1:21" s="32" customFormat="1" ht="30" customHeight="1">
      <c r="A322" s="20">
        <v>14962</v>
      </c>
      <c r="B322" s="1179" t="s">
        <v>500</v>
      </c>
      <c r="C322" s="1180"/>
      <c r="D322" s="1181"/>
      <c r="E322" s="1097" t="s">
        <v>10</v>
      </c>
      <c r="F322" s="247">
        <v>6777000</v>
      </c>
      <c r="G322" s="1098">
        <v>21735</v>
      </c>
      <c r="H322" s="1137" t="s">
        <v>573</v>
      </c>
      <c r="I322" s="1349">
        <f>+'2019 MILCON Inflation Table'!F15</f>
        <v>1</v>
      </c>
      <c r="J322" s="1350"/>
      <c r="K322" s="242">
        <f>+F322/G322*I322</f>
        <v>311.80124223602485</v>
      </c>
      <c r="L322" s="20" t="s">
        <v>8</v>
      </c>
      <c r="M322" s="1146"/>
      <c r="N322" s="982"/>
      <c r="O322" s="33"/>
    </row>
    <row r="323" spans="1:21" ht="30" customHeight="1" thickBot="1">
      <c r="A323" s="45"/>
      <c r="B323" s="1224" t="s">
        <v>2915</v>
      </c>
      <c r="C323" s="1224"/>
      <c r="D323" s="1224"/>
      <c r="E323" s="236"/>
      <c r="F323" s="237"/>
      <c r="G323" s="237"/>
      <c r="H323" s="238"/>
      <c r="I323" s="243"/>
      <c r="J323" s="79" t="s">
        <v>289</v>
      </c>
      <c r="K323" s="242">
        <f>+K322</f>
        <v>311.80124223602485</v>
      </c>
      <c r="L323" s="20" t="s">
        <v>8</v>
      </c>
      <c r="M323" s="1146"/>
    </row>
    <row r="324" spans="1:21" ht="30" customHeight="1" thickBot="1">
      <c r="A324" s="1165"/>
      <c r="B324" s="1166"/>
      <c r="C324" s="1166"/>
      <c r="D324" s="1166"/>
      <c r="E324" s="1166"/>
      <c r="F324" s="1166"/>
      <c r="G324" s="1166"/>
      <c r="H324" s="1166"/>
      <c r="I324" s="1166"/>
      <c r="J324" s="1166"/>
      <c r="K324" s="1166"/>
      <c r="L324" s="1167"/>
      <c r="M324" s="1146"/>
      <c r="N324" s="142"/>
    </row>
    <row r="325" spans="1:21" ht="30" customHeight="1">
      <c r="A325" s="27" t="s">
        <v>280</v>
      </c>
      <c r="B325" s="28">
        <v>1498</v>
      </c>
      <c r="C325" s="1215" t="s">
        <v>501</v>
      </c>
      <c r="D325" s="1216"/>
      <c r="E325" s="30" t="s">
        <v>282</v>
      </c>
      <c r="F325" s="31" t="s">
        <v>8</v>
      </c>
      <c r="G325" s="58" t="s">
        <v>290</v>
      </c>
      <c r="H325" s="104">
        <v>341</v>
      </c>
      <c r="I325" s="74" t="s">
        <v>283</v>
      </c>
      <c r="J325" s="1199" t="s">
        <v>2569</v>
      </c>
      <c r="K325" s="1230"/>
      <c r="L325" s="1231"/>
      <c r="M325" s="1146"/>
    </row>
    <row r="326" spans="1:21" ht="30" customHeight="1">
      <c r="A326" s="35" t="s">
        <v>293</v>
      </c>
      <c r="B326" s="1299" t="s">
        <v>284</v>
      </c>
      <c r="C326" s="1299"/>
      <c r="D326" s="1299"/>
      <c r="E326" s="310" t="s">
        <v>295</v>
      </c>
      <c r="F326" s="36" t="s">
        <v>294</v>
      </c>
      <c r="G326" s="1365" t="s">
        <v>332</v>
      </c>
      <c r="H326" s="1366"/>
      <c r="I326" s="1233" t="s">
        <v>426</v>
      </c>
      <c r="J326" s="1234"/>
      <c r="K326" s="1303" t="s">
        <v>297</v>
      </c>
      <c r="L326" s="1304"/>
      <c r="M326" s="1146"/>
    </row>
    <row r="327" spans="1:21" ht="30" customHeight="1">
      <c r="A327" s="45">
        <v>14113</v>
      </c>
      <c r="B327" s="1383" t="s">
        <v>502</v>
      </c>
      <c r="C327" s="1384"/>
      <c r="D327" s="1385"/>
      <c r="E327" s="153">
        <v>524</v>
      </c>
      <c r="F327" s="20">
        <v>200</v>
      </c>
      <c r="G327" s="206"/>
      <c r="H327" s="206"/>
      <c r="I327" s="1349">
        <f>+'2019 MILCON Inflation Table'!$F$18</f>
        <v>0.94232233454704462</v>
      </c>
      <c r="J327" s="1350"/>
      <c r="K327" s="242">
        <f>+E327*I327</f>
        <v>493.77690330265136</v>
      </c>
      <c r="L327" s="20" t="s">
        <v>8</v>
      </c>
      <c r="M327" s="1146"/>
    </row>
    <row r="328" spans="1:21" ht="30" customHeight="1">
      <c r="A328" s="45">
        <v>14113</v>
      </c>
      <c r="B328" s="1386" t="s">
        <v>503</v>
      </c>
      <c r="C328" s="1386"/>
      <c r="D328" s="1386"/>
      <c r="E328" s="153">
        <v>706</v>
      </c>
      <c r="F328" s="20">
        <v>930</v>
      </c>
      <c r="G328" s="248"/>
      <c r="H328" s="248"/>
      <c r="I328" s="1349">
        <f>+'2019 MILCON Inflation Table'!$F$18</f>
        <v>0.94232233454704462</v>
      </c>
      <c r="J328" s="1350"/>
      <c r="K328" s="242">
        <f>+E328*I328</f>
        <v>665.27956819021347</v>
      </c>
      <c r="L328" s="20" t="s">
        <v>8</v>
      </c>
      <c r="M328" s="1146"/>
      <c r="N328" s="143"/>
    </row>
    <row r="329" spans="1:21" ht="30" customHeight="1">
      <c r="A329" s="45">
        <v>14113</v>
      </c>
      <c r="B329" s="1383" t="s">
        <v>504</v>
      </c>
      <c r="C329" s="1384"/>
      <c r="D329" s="1385"/>
      <c r="E329" s="153">
        <v>1503</v>
      </c>
      <c r="F329" s="20">
        <v>40</v>
      </c>
      <c r="G329" s="248"/>
      <c r="H329" s="248"/>
      <c r="I329" s="1349">
        <f>+'2019 MILCON Inflation Table'!$F$18</f>
        <v>0.94232233454704462</v>
      </c>
      <c r="J329" s="1350"/>
      <c r="K329" s="242">
        <f>+E329*I329</f>
        <v>1416.3104688242081</v>
      </c>
      <c r="L329" s="20" t="s">
        <v>8</v>
      </c>
      <c r="M329" s="1146"/>
    </row>
    <row r="330" spans="1:21" ht="30" customHeight="1">
      <c r="A330" s="45">
        <v>14113</v>
      </c>
      <c r="B330" s="1383" t="s">
        <v>2596</v>
      </c>
      <c r="C330" s="1384"/>
      <c r="D330" s="1384"/>
      <c r="E330" s="153">
        <v>394</v>
      </c>
      <c r="F330" s="510">
        <v>2960</v>
      </c>
      <c r="G330" s="248"/>
      <c r="H330" s="248"/>
      <c r="I330" s="1349">
        <f>+'2019 MILCON Inflation Table'!$F$18</f>
        <v>0.94232233454704462</v>
      </c>
      <c r="J330" s="1350"/>
      <c r="K330" s="242">
        <f>+E330*I330</f>
        <v>371.27499981153557</v>
      </c>
      <c r="L330" s="20" t="s">
        <v>8</v>
      </c>
      <c r="M330" s="1146"/>
    </row>
    <row r="331" spans="1:21" ht="30" customHeight="1" thickBot="1">
      <c r="A331" s="45"/>
      <c r="B331" s="29"/>
      <c r="C331" s="70"/>
      <c r="D331" s="70"/>
      <c r="E331" s="70"/>
      <c r="F331" s="311"/>
      <c r="G331" s="70"/>
      <c r="H331" s="312" t="s">
        <v>311</v>
      </c>
      <c r="I331" s="46"/>
      <c r="J331" s="37" t="s">
        <v>289</v>
      </c>
      <c r="K331" s="87">
        <f>AVERAGE(K327:K330)</f>
        <v>736.66048503215211</v>
      </c>
      <c r="L331" s="45" t="s">
        <v>8</v>
      </c>
      <c r="M331" s="1146"/>
    </row>
    <row r="332" spans="1:21" ht="30" customHeight="1" thickBot="1">
      <c r="A332" s="1165"/>
      <c r="B332" s="1166"/>
      <c r="C332" s="1166"/>
      <c r="D332" s="1166"/>
      <c r="E332" s="1166"/>
      <c r="F332" s="1166"/>
      <c r="G332" s="1166"/>
      <c r="H332" s="1166"/>
      <c r="I332" s="1166"/>
      <c r="J332" s="1166"/>
      <c r="K332" s="1166"/>
      <c r="L332" s="1167"/>
      <c r="M332" s="1146"/>
    </row>
    <row r="333" spans="1:21" ht="30" customHeight="1">
      <c r="A333" s="27" t="s">
        <v>280</v>
      </c>
      <c r="B333" s="28">
        <v>1499</v>
      </c>
      <c r="C333" s="1215" t="s">
        <v>505</v>
      </c>
      <c r="D333" s="1216"/>
      <c r="E333" s="30" t="s">
        <v>282</v>
      </c>
      <c r="F333" s="31" t="s">
        <v>10</v>
      </c>
      <c r="G333" s="70" t="s">
        <v>281</v>
      </c>
      <c r="H333" s="313">
        <v>1</v>
      </c>
      <c r="I333" s="30" t="s">
        <v>283</v>
      </c>
      <c r="J333" s="1199" t="s">
        <v>2600</v>
      </c>
      <c r="K333" s="1230"/>
      <c r="L333" s="1231"/>
      <c r="M333" s="1146"/>
    </row>
    <row r="334" spans="1:21" ht="30" customHeight="1">
      <c r="A334" s="35" t="s">
        <v>506</v>
      </c>
      <c r="B334" s="1299" t="s">
        <v>284</v>
      </c>
      <c r="C334" s="1299"/>
      <c r="D334" s="1299"/>
      <c r="E334" s="35" t="s">
        <v>295</v>
      </c>
      <c r="F334" s="35" t="s">
        <v>331</v>
      </c>
      <c r="G334" s="1356" t="s">
        <v>332</v>
      </c>
      <c r="H334" s="1357"/>
      <c r="I334" s="1233" t="s">
        <v>426</v>
      </c>
      <c r="J334" s="1234"/>
      <c r="K334" s="1381" t="s">
        <v>297</v>
      </c>
      <c r="L334" s="1382"/>
      <c r="M334" s="1146"/>
    </row>
    <row r="335" spans="1:21" ht="30" customHeight="1">
      <c r="A335" s="97">
        <v>62010</v>
      </c>
      <c r="B335" s="1222" t="s">
        <v>507</v>
      </c>
      <c r="C335" s="1222"/>
      <c r="D335" s="1222"/>
      <c r="E335" s="153">
        <v>235</v>
      </c>
      <c r="F335" s="1095" t="s">
        <v>8</v>
      </c>
      <c r="G335" s="20">
        <v>230</v>
      </c>
      <c r="H335" s="1065" t="s">
        <v>334</v>
      </c>
      <c r="I335" s="1397">
        <f>+'2019 MILCON Inflation Table'!F8</f>
        <v>1.2987915407854984</v>
      </c>
      <c r="J335" s="1398"/>
      <c r="K335" s="315">
        <f>+E335*G335*I335</f>
        <v>70199.682779456183</v>
      </c>
      <c r="L335" s="20" t="s">
        <v>10</v>
      </c>
      <c r="M335" s="1146"/>
    </row>
    <row r="336" spans="1:21" ht="30" customHeight="1">
      <c r="A336" s="20">
        <v>17971</v>
      </c>
      <c r="B336" s="1176" t="s">
        <v>1313</v>
      </c>
      <c r="C336" s="1177"/>
      <c r="D336" s="1178"/>
      <c r="E336" s="153">
        <v>606194</v>
      </c>
      <c r="F336" s="316" t="s">
        <v>10</v>
      </c>
      <c r="G336" s="206"/>
      <c r="H336" s="206"/>
      <c r="I336" s="1349">
        <f>+'2019 MILCON Inflation Table'!F17</f>
        <v>0.96116878123798544</v>
      </c>
      <c r="J336" s="1350"/>
      <c r="K336" s="315">
        <f>+E336*I336</f>
        <v>582654.74817377934</v>
      </c>
      <c r="L336" s="20" t="s">
        <v>10</v>
      </c>
      <c r="M336" s="1146"/>
      <c r="P336" s="34"/>
      <c r="Q336" s="34"/>
      <c r="R336" s="34"/>
      <c r="S336" s="44"/>
      <c r="T336" s="44"/>
      <c r="U336" s="34"/>
    </row>
    <row r="337" spans="1:21" s="38" customFormat="1" ht="30" customHeight="1">
      <c r="A337" s="48"/>
      <c r="B337" s="264"/>
      <c r="C337" s="264"/>
      <c r="D337" s="264"/>
      <c r="E337" s="46"/>
      <c r="F337" s="48"/>
      <c r="G337" s="1354" t="s">
        <v>453</v>
      </c>
      <c r="H337" s="1355"/>
      <c r="I337" s="1355"/>
      <c r="J337" s="318" t="s">
        <v>510</v>
      </c>
      <c r="K337" s="1096">
        <f>((839/1895)*K335)+((1056/1895)*K336)</f>
        <v>355768.31024985475</v>
      </c>
      <c r="L337" s="45" t="s">
        <v>10</v>
      </c>
      <c r="M337" s="1146"/>
      <c r="N337" s="193"/>
      <c r="O337" s="1119"/>
      <c r="P337" s="39"/>
      <c r="Q337" s="39"/>
      <c r="R337" s="39"/>
      <c r="S337" s="84"/>
      <c r="T337" s="84"/>
      <c r="U337" s="39"/>
    </row>
    <row r="338" spans="1:21" s="32" customFormat="1" ht="30" customHeight="1">
      <c r="A338" s="1387" t="s">
        <v>2601</v>
      </c>
      <c r="B338" s="1388"/>
      <c r="C338" s="1388"/>
      <c r="D338" s="1388"/>
      <c r="E338" s="1388"/>
      <c r="F338" s="1388"/>
      <c r="G338" s="1388"/>
      <c r="H338" s="1388"/>
      <c r="I338" s="1388"/>
      <c r="J338" s="1388"/>
      <c r="K338" s="1388"/>
      <c r="L338" s="1389"/>
      <c r="M338" s="1146"/>
      <c r="N338" s="125"/>
      <c r="O338" s="33"/>
    </row>
    <row r="339" spans="1:21" ht="34.5" customHeight="1" thickBot="1">
      <c r="A339" s="1390"/>
      <c r="B339" s="1391"/>
      <c r="C339" s="1391"/>
      <c r="D339" s="1391"/>
      <c r="E339" s="1391"/>
      <c r="F339" s="1391"/>
      <c r="G339" s="1391"/>
      <c r="H339" s="1391"/>
      <c r="I339" s="1391"/>
      <c r="J339" s="1391"/>
      <c r="K339" s="1391"/>
      <c r="L339" s="1392"/>
      <c r="M339" s="1146"/>
    </row>
    <row r="340" spans="1:21" ht="30" customHeight="1" thickBot="1">
      <c r="A340" s="1165"/>
      <c r="B340" s="1166"/>
      <c r="C340" s="1166"/>
      <c r="D340" s="1166"/>
      <c r="E340" s="1166"/>
      <c r="F340" s="1166"/>
      <c r="G340" s="1166"/>
      <c r="H340" s="1166"/>
      <c r="I340" s="1166"/>
      <c r="J340" s="1166"/>
      <c r="K340" s="1166"/>
      <c r="L340" s="1167"/>
      <c r="M340" s="1146"/>
    </row>
    <row r="341" spans="1:21" ht="30" customHeight="1">
      <c r="A341" s="27" t="s">
        <v>280</v>
      </c>
      <c r="B341" s="28">
        <v>1511</v>
      </c>
      <c r="C341" s="1393" t="s">
        <v>511</v>
      </c>
      <c r="D341" s="1394"/>
      <c r="E341" s="30" t="s">
        <v>282</v>
      </c>
      <c r="F341" s="31" t="s">
        <v>3</v>
      </c>
      <c r="G341" s="1395" t="s">
        <v>332</v>
      </c>
      <c r="H341" s="1396"/>
      <c r="I341" s="30" t="s">
        <v>283</v>
      </c>
      <c r="J341" s="1199" t="s">
        <v>25</v>
      </c>
      <c r="K341" s="1230"/>
      <c r="L341" s="1231"/>
      <c r="M341" s="1146"/>
      <c r="N341" s="1103"/>
      <c r="O341"/>
      <c r="P341" s="148"/>
      <c r="Q341" s="147"/>
      <c r="R341" s="149"/>
    </row>
    <row r="342" spans="1:21" s="38" customFormat="1" ht="30" customHeight="1">
      <c r="A342" s="35"/>
      <c r="B342" s="1299" t="s">
        <v>284</v>
      </c>
      <c r="C342" s="1299"/>
      <c r="D342" s="1299"/>
      <c r="E342" s="35" t="s">
        <v>512</v>
      </c>
      <c r="F342" s="35" t="s">
        <v>2</v>
      </c>
      <c r="G342" s="180"/>
      <c r="H342" s="35"/>
      <c r="I342" s="1233" t="s">
        <v>426</v>
      </c>
      <c r="J342" s="1234"/>
      <c r="K342" s="1381" t="s">
        <v>297</v>
      </c>
      <c r="L342" s="1382"/>
      <c r="M342" s="1146"/>
      <c r="N342" s="1103"/>
      <c r="P342" s="148"/>
      <c r="Q342" s="147"/>
      <c r="R342" s="149"/>
    </row>
    <row r="343" spans="1:21" ht="30" customHeight="1">
      <c r="A343" s="40"/>
      <c r="B343" s="1306" t="s">
        <v>511</v>
      </c>
      <c r="C343" s="1306"/>
      <c r="D343" s="1306"/>
      <c r="E343" s="54">
        <v>2819.18</v>
      </c>
      <c r="F343" s="40" t="s">
        <v>3</v>
      </c>
      <c r="G343" s="47"/>
      <c r="H343" s="319"/>
      <c r="I343" s="1192">
        <f>+'2019 MILCON Inflation Table'!F5</f>
        <v>1.2295738392601774</v>
      </c>
      <c r="J343" s="1193"/>
      <c r="K343" s="54">
        <f>+E343*I343</f>
        <v>3466.3899761655066</v>
      </c>
      <c r="L343" s="40" t="s">
        <v>3</v>
      </c>
      <c r="M343" s="1146"/>
      <c r="N343" s="1103"/>
      <c r="O343"/>
      <c r="P343" s="148"/>
      <c r="Q343" s="147"/>
      <c r="R343" s="149"/>
    </row>
    <row r="344" spans="1:21" ht="30" customHeight="1">
      <c r="A344" s="45"/>
      <c r="B344" s="1307"/>
      <c r="C344" s="1307"/>
      <c r="D344" s="1307"/>
      <c r="E344" s="1188" t="s">
        <v>513</v>
      </c>
      <c r="F344" s="1189"/>
      <c r="G344" s="1189"/>
      <c r="H344" s="1190"/>
      <c r="I344" s="46"/>
      <c r="J344" s="37" t="s">
        <v>289</v>
      </c>
      <c r="K344" s="87">
        <f>+K343</f>
        <v>3466.3899761655066</v>
      </c>
      <c r="L344" s="45" t="s">
        <v>3</v>
      </c>
      <c r="M344" s="1146"/>
      <c r="N344" s="1103"/>
      <c r="O344"/>
      <c r="P344" s="148"/>
      <c r="Q344" s="147"/>
      <c r="R344" s="149"/>
    </row>
    <row r="345" spans="1:21" ht="30" customHeight="1">
      <c r="A345" s="1335" t="s">
        <v>2602</v>
      </c>
      <c r="B345" s="1335"/>
      <c r="C345" s="1335"/>
      <c r="D345" s="1335"/>
      <c r="E345" s="1335"/>
      <c r="F345" s="1335"/>
      <c r="G345" s="1335"/>
      <c r="H345" s="1335"/>
      <c r="I345" s="1335"/>
      <c r="J345" s="1335"/>
      <c r="K345" s="1335"/>
      <c r="L345" s="1335"/>
      <c r="M345" s="1146"/>
      <c r="N345" s="1103"/>
      <c r="O345"/>
      <c r="P345" s="148"/>
      <c r="Q345" s="147"/>
      <c r="R345" s="149"/>
    </row>
    <row r="346" spans="1:21" ht="30" customHeight="1">
      <c r="A346" s="1335"/>
      <c r="B346" s="1335"/>
      <c r="C346" s="1335"/>
      <c r="D346" s="1335"/>
      <c r="E346" s="1335"/>
      <c r="F346" s="1335"/>
      <c r="G346" s="1335"/>
      <c r="H346" s="1335"/>
      <c r="I346" s="1335"/>
      <c r="J346" s="1335"/>
      <c r="K346" s="1335"/>
      <c r="L346" s="1335"/>
      <c r="M346" s="1146"/>
      <c r="N346" s="1103"/>
      <c r="O346"/>
      <c r="P346" s="159"/>
      <c r="Q346" s="147"/>
      <c r="R346" s="149"/>
    </row>
    <row r="347" spans="1:21" ht="30" customHeight="1">
      <c r="A347" s="1335"/>
      <c r="B347" s="1335"/>
      <c r="C347" s="1335"/>
      <c r="D347" s="1335"/>
      <c r="E347" s="1335"/>
      <c r="F347" s="1335"/>
      <c r="G347" s="1335"/>
      <c r="H347" s="1335"/>
      <c r="I347" s="1335"/>
      <c r="J347" s="1335"/>
      <c r="K347" s="1335"/>
      <c r="L347" s="1335"/>
      <c r="M347" s="1146"/>
      <c r="N347" s="1103"/>
      <c r="O347"/>
      <c r="P347" s="159"/>
      <c r="Q347" s="147"/>
      <c r="R347" s="149"/>
    </row>
    <row r="348" spans="1:21" ht="30" customHeight="1" thickBot="1">
      <c r="A348" s="1335"/>
      <c r="B348" s="1335"/>
      <c r="C348" s="1335"/>
      <c r="D348" s="1335"/>
      <c r="E348" s="1335"/>
      <c r="F348" s="1335"/>
      <c r="G348" s="1335"/>
      <c r="H348" s="1335"/>
      <c r="I348" s="1335"/>
      <c r="J348" s="1335"/>
      <c r="K348" s="1335"/>
      <c r="L348" s="1335"/>
      <c r="M348" s="1146"/>
      <c r="N348" s="1103"/>
      <c r="O348"/>
      <c r="P348" s="159"/>
      <c r="Q348" s="147"/>
      <c r="R348" s="149"/>
    </row>
    <row r="349" spans="1:21" ht="30" customHeight="1" thickBot="1">
      <c r="A349" s="1165"/>
      <c r="B349" s="1166"/>
      <c r="C349" s="1166"/>
      <c r="D349" s="1166"/>
      <c r="E349" s="1166"/>
      <c r="F349" s="1166"/>
      <c r="G349" s="1166"/>
      <c r="H349" s="1166"/>
      <c r="I349" s="1166"/>
      <c r="J349" s="1166"/>
      <c r="K349" s="1166"/>
      <c r="L349" s="1167"/>
      <c r="M349" s="1146"/>
      <c r="N349" s="1103"/>
      <c r="O349"/>
      <c r="P349" s="159"/>
      <c r="Q349" s="147"/>
      <c r="R349" s="149"/>
    </row>
    <row r="350" spans="1:21" s="38" customFormat="1" ht="30" customHeight="1">
      <c r="A350" s="27" t="s">
        <v>280</v>
      </c>
      <c r="B350" s="28">
        <v>1512</v>
      </c>
      <c r="C350" s="1393" t="s">
        <v>514</v>
      </c>
      <c r="D350" s="1394"/>
      <c r="E350" s="30" t="s">
        <v>282</v>
      </c>
      <c r="F350" s="31" t="s">
        <v>3</v>
      </c>
      <c r="G350" s="1395" t="s">
        <v>332</v>
      </c>
      <c r="H350" s="1396"/>
      <c r="I350" s="30" t="s">
        <v>283</v>
      </c>
      <c r="J350" s="1199" t="s">
        <v>25</v>
      </c>
      <c r="K350" s="1230"/>
      <c r="L350" s="1231"/>
      <c r="M350" s="1146"/>
      <c r="N350" s="1103"/>
      <c r="P350" s="159"/>
      <c r="Q350" s="147"/>
      <c r="R350" s="149"/>
    </row>
    <row r="351" spans="1:21" ht="30" customHeight="1">
      <c r="A351" s="35"/>
      <c r="B351" s="1299" t="s">
        <v>284</v>
      </c>
      <c r="C351" s="1299"/>
      <c r="D351" s="1299"/>
      <c r="E351" s="35" t="s">
        <v>512</v>
      </c>
      <c r="F351" s="35" t="s">
        <v>2</v>
      </c>
      <c r="G351" s="180"/>
      <c r="H351" s="35"/>
      <c r="I351" s="1233" t="s">
        <v>426</v>
      </c>
      <c r="J351" s="1234"/>
      <c r="K351" s="1381" t="s">
        <v>297</v>
      </c>
      <c r="L351" s="1382"/>
      <c r="M351" s="1146"/>
      <c r="N351" s="1103"/>
      <c r="O351"/>
      <c r="P351" s="159"/>
      <c r="Q351" s="147"/>
      <c r="R351" s="149"/>
    </row>
    <row r="352" spans="1:21" ht="30" customHeight="1">
      <c r="A352" s="40"/>
      <c r="B352" s="1306" t="s">
        <v>514</v>
      </c>
      <c r="C352" s="1306"/>
      <c r="D352" s="1306"/>
      <c r="E352" s="54">
        <v>2819.18</v>
      </c>
      <c r="F352" s="40" t="s">
        <v>3</v>
      </c>
      <c r="G352" s="47"/>
      <c r="H352" s="319"/>
      <c r="I352" s="1192">
        <f>+'2019 MILCON Inflation Table'!F5</f>
        <v>1.2295738392601774</v>
      </c>
      <c r="J352" s="1193"/>
      <c r="K352" s="54">
        <f>+E352*I352</f>
        <v>3466.3899761655066</v>
      </c>
      <c r="L352" s="40" t="s">
        <v>3</v>
      </c>
      <c r="M352" s="1146"/>
      <c r="N352" s="55"/>
      <c r="O352"/>
      <c r="P352" s="159"/>
      <c r="Q352" s="147"/>
      <c r="R352" s="149"/>
    </row>
    <row r="353" spans="1:18" ht="30" customHeight="1">
      <c r="A353" s="45"/>
      <c r="B353" s="1307"/>
      <c r="C353" s="1307"/>
      <c r="D353" s="1307"/>
      <c r="E353" s="1188" t="s">
        <v>513</v>
      </c>
      <c r="F353" s="1189"/>
      <c r="G353" s="1189"/>
      <c r="H353" s="1190"/>
      <c r="I353" s="46"/>
      <c r="J353" s="37" t="s">
        <v>289</v>
      </c>
      <c r="K353" s="87">
        <f>+K352</f>
        <v>3466.3899761655066</v>
      </c>
      <c r="L353" s="45" t="s">
        <v>3</v>
      </c>
      <c r="M353" s="1146"/>
      <c r="N353" s="992"/>
      <c r="O353"/>
      <c r="P353" s="159"/>
      <c r="Q353" s="147"/>
      <c r="R353" s="149"/>
    </row>
    <row r="354" spans="1:18" ht="30" customHeight="1">
      <c r="A354" s="1335" t="s">
        <v>2884</v>
      </c>
      <c r="B354" s="1335"/>
      <c r="C354" s="1335"/>
      <c r="D354" s="1335"/>
      <c r="E354" s="1335"/>
      <c r="F354" s="1335"/>
      <c r="G354" s="1335"/>
      <c r="H354" s="1335"/>
      <c r="I354" s="1335"/>
      <c r="J354" s="1335"/>
      <c r="K354" s="1335"/>
      <c r="L354" s="1335"/>
      <c r="M354" s="1146"/>
      <c r="N354" s="992"/>
      <c r="O354"/>
      <c r="P354" s="159"/>
      <c r="Q354" s="147"/>
      <c r="R354" s="149"/>
    </row>
    <row r="355" spans="1:18" ht="30" customHeight="1">
      <c r="A355" s="1335"/>
      <c r="B355" s="1335"/>
      <c r="C355" s="1335"/>
      <c r="D355" s="1335"/>
      <c r="E355" s="1335"/>
      <c r="F355" s="1335"/>
      <c r="G355" s="1335"/>
      <c r="H355" s="1335"/>
      <c r="I355" s="1335"/>
      <c r="J355" s="1335"/>
      <c r="K355" s="1335"/>
      <c r="L355" s="1335"/>
      <c r="M355" s="1146"/>
      <c r="N355" s="1103"/>
      <c r="O355"/>
      <c r="P355" s="159"/>
      <c r="Q355" s="147"/>
      <c r="R355" s="149"/>
    </row>
    <row r="356" spans="1:18" ht="30" customHeight="1">
      <c r="A356" s="1335"/>
      <c r="B356" s="1335"/>
      <c r="C356" s="1335"/>
      <c r="D356" s="1335"/>
      <c r="E356" s="1335"/>
      <c r="F356" s="1335"/>
      <c r="G356" s="1335"/>
      <c r="H356" s="1335"/>
      <c r="I356" s="1335"/>
      <c r="J356" s="1335"/>
      <c r="K356" s="1335"/>
      <c r="L356" s="1335"/>
      <c r="M356" s="1146"/>
      <c r="N356" s="1103"/>
      <c r="O356"/>
      <c r="P356" s="159"/>
      <c r="Q356" s="147"/>
      <c r="R356" s="149"/>
    </row>
    <row r="357" spans="1:18" ht="30" customHeight="1" thickBot="1">
      <c r="A357" s="1335"/>
      <c r="B357" s="1335"/>
      <c r="C357" s="1335"/>
      <c r="D357" s="1335"/>
      <c r="E357" s="1335"/>
      <c r="F357" s="1335"/>
      <c r="G357" s="1335"/>
      <c r="H357" s="1335"/>
      <c r="I357" s="1335"/>
      <c r="J357" s="1335"/>
      <c r="K357" s="1335"/>
      <c r="L357" s="1335"/>
      <c r="M357" s="1146"/>
      <c r="N357" s="1103"/>
      <c r="O357"/>
      <c r="P357" s="159"/>
      <c r="Q357" s="147"/>
      <c r="R357" s="149"/>
    </row>
    <row r="358" spans="1:18" ht="30" customHeight="1" thickBot="1">
      <c r="A358" s="1165"/>
      <c r="B358" s="1166"/>
      <c r="C358" s="1166"/>
      <c r="D358" s="1166"/>
      <c r="E358" s="1166"/>
      <c r="F358" s="1166"/>
      <c r="G358" s="1166"/>
      <c r="H358" s="1166"/>
      <c r="I358" s="1166"/>
      <c r="J358" s="1166"/>
      <c r="K358" s="1166"/>
      <c r="L358" s="1167"/>
      <c r="M358" s="1146"/>
      <c r="N358" s="1103"/>
      <c r="O358"/>
      <c r="P358" s="159"/>
      <c r="Q358" s="147"/>
      <c r="R358" s="149"/>
    </row>
    <row r="359" spans="1:18" ht="30" customHeight="1">
      <c r="A359" s="27" t="s">
        <v>280</v>
      </c>
      <c r="B359" s="28">
        <v>1513</v>
      </c>
      <c r="C359" s="1393" t="s">
        <v>515</v>
      </c>
      <c r="D359" s="1394"/>
      <c r="E359" s="74" t="s">
        <v>282</v>
      </c>
      <c r="F359" s="75" t="s">
        <v>3</v>
      </c>
      <c r="G359" s="58" t="s">
        <v>290</v>
      </c>
      <c r="H359" s="215">
        <v>8188</v>
      </c>
      <c r="I359" s="74" t="s">
        <v>283</v>
      </c>
      <c r="J359" s="1310" t="s">
        <v>2527</v>
      </c>
      <c r="K359" s="1310"/>
      <c r="L359" s="1311"/>
      <c r="M359" s="1146"/>
      <c r="N359" s="55"/>
      <c r="O359"/>
      <c r="P359" s="159"/>
      <c r="Q359" s="147"/>
      <c r="R359" s="149"/>
    </row>
    <row r="360" spans="1:18" ht="30" customHeight="1">
      <c r="A360" s="37" t="s">
        <v>304</v>
      </c>
      <c r="B360" s="1300" t="s">
        <v>330</v>
      </c>
      <c r="C360" s="1301"/>
      <c r="D360" s="1302"/>
      <c r="E360" s="150" t="s">
        <v>295</v>
      </c>
      <c r="F360" s="150" t="s">
        <v>331</v>
      </c>
      <c r="G360" s="1204" t="s">
        <v>332</v>
      </c>
      <c r="H360" s="1205"/>
      <c r="I360" s="151" t="s">
        <v>305</v>
      </c>
      <c r="J360" s="151"/>
      <c r="K360" s="1206" t="s">
        <v>297</v>
      </c>
      <c r="L360" s="1207"/>
      <c r="M360" s="1146"/>
      <c r="N360" s="55"/>
      <c r="P360" s="159"/>
      <c r="Q360" s="147"/>
      <c r="R360" s="149"/>
    </row>
    <row r="361" spans="1:18" ht="30" customHeight="1">
      <c r="A361" s="45" t="s">
        <v>306</v>
      </c>
      <c r="B361" s="1188" t="s">
        <v>516</v>
      </c>
      <c r="C361" s="1189"/>
      <c r="D361" s="1190"/>
      <c r="E361" s="153">
        <f>+(82.5+117)/2</f>
        <v>99.75</v>
      </c>
      <c r="F361" s="20" t="s">
        <v>8</v>
      </c>
      <c r="G361" s="154">
        <v>9</v>
      </c>
      <c r="H361" s="155" t="s">
        <v>517</v>
      </c>
      <c r="I361" s="20">
        <v>1.04</v>
      </c>
      <c r="J361" s="20"/>
      <c r="K361" s="153">
        <f>+E361*I361*G361</f>
        <v>933.66000000000008</v>
      </c>
      <c r="L361" s="20" t="s">
        <v>3</v>
      </c>
      <c r="M361" s="1146"/>
      <c r="P361" s="159"/>
      <c r="Q361" s="147"/>
      <c r="R361" s="149"/>
    </row>
    <row r="362" spans="1:18" ht="30" customHeight="1">
      <c r="A362" s="45"/>
      <c r="B362" s="1210"/>
      <c r="C362" s="1211"/>
      <c r="D362" s="1399"/>
      <c r="E362" s="153"/>
      <c r="F362" s="1174" t="s">
        <v>308</v>
      </c>
      <c r="G362" s="1208" t="s">
        <v>309</v>
      </c>
      <c r="H362" s="1208"/>
      <c r="I362" s="1208"/>
      <c r="J362" s="1208"/>
      <c r="K362" s="123">
        <v>1.06</v>
      </c>
      <c r="L362" s="10"/>
      <c r="M362" s="1146"/>
      <c r="O362"/>
      <c r="P362" s="159"/>
      <c r="Q362" s="147"/>
      <c r="R362" s="149"/>
    </row>
    <row r="363" spans="1:18" ht="30" customHeight="1">
      <c r="A363" s="45"/>
      <c r="B363" s="1400"/>
      <c r="C363" s="1401"/>
      <c r="D363" s="1402"/>
      <c r="E363" s="153"/>
      <c r="F363" s="1175"/>
      <c r="G363" s="1209" t="s">
        <v>310</v>
      </c>
      <c r="H363" s="1209"/>
      <c r="I363" s="1209"/>
      <c r="J363" s="1209"/>
      <c r="K363" s="123">
        <v>1.07</v>
      </c>
      <c r="L363" s="10"/>
      <c r="M363" s="1146"/>
      <c r="O363"/>
      <c r="P363" s="159"/>
      <c r="Q363" s="147"/>
      <c r="R363" s="149"/>
    </row>
    <row r="364" spans="1:18" ht="30" customHeight="1">
      <c r="A364" s="45"/>
      <c r="B364" s="1403"/>
      <c r="C364" s="1404"/>
      <c r="D364" s="1405"/>
      <c r="E364" s="153"/>
      <c r="F364" s="20"/>
      <c r="G364" s="20"/>
      <c r="H364" s="20"/>
      <c r="I364" s="20"/>
      <c r="J364" s="18" t="s">
        <v>289</v>
      </c>
      <c r="K364" s="153">
        <f>+K361*K362/K363</f>
        <v>924.93420560747677</v>
      </c>
      <c r="L364" s="20" t="s">
        <v>3</v>
      </c>
      <c r="M364" s="1146"/>
      <c r="O364"/>
      <c r="P364" s="159"/>
      <c r="Q364" s="147"/>
      <c r="R364" s="149"/>
    </row>
    <row r="365" spans="1:18" ht="30" customHeight="1" thickBot="1">
      <c r="A365" s="45"/>
      <c r="B365" s="320"/>
      <c r="C365" s="320"/>
      <c r="D365" s="320"/>
      <c r="E365" s="153"/>
      <c r="F365" s="20"/>
      <c r="G365" s="160" t="s">
        <v>312</v>
      </c>
      <c r="H365" s="20"/>
      <c r="I365" s="20"/>
      <c r="J365" s="139">
        <f>VLOOKUP(B359,'Mil Cost Premiums for RUCs'!$A$4:$R$266,18,FALSE)</f>
        <v>1.0905505199999999</v>
      </c>
      <c r="K365" s="153">
        <f>+K364*J365</f>
        <v>1008.6874788910205</v>
      </c>
      <c r="L365" s="20" t="s">
        <v>3</v>
      </c>
      <c r="M365" s="1146"/>
      <c r="O365"/>
      <c r="P365" s="159"/>
      <c r="Q365" s="147"/>
      <c r="R365" s="149"/>
    </row>
    <row r="366" spans="1:18" ht="30" customHeight="1" thickBot="1">
      <c r="A366" s="1165"/>
      <c r="B366" s="1166"/>
      <c r="C366" s="1166"/>
      <c r="D366" s="1166"/>
      <c r="E366" s="1166"/>
      <c r="F366" s="1166"/>
      <c r="G366" s="1166"/>
      <c r="H366" s="1166"/>
      <c r="I366" s="1166"/>
      <c r="J366" s="1166"/>
      <c r="K366" s="1166"/>
      <c r="L366" s="1167"/>
      <c r="M366" s="1146"/>
      <c r="N366" s="55"/>
      <c r="O366" s="993"/>
      <c r="P366" s="993"/>
      <c r="Q366" s="41"/>
      <c r="R366" s="994"/>
    </row>
    <row r="367" spans="1:18" ht="30" customHeight="1">
      <c r="A367" s="27" t="s">
        <v>280</v>
      </c>
      <c r="B367" s="28">
        <v>1531</v>
      </c>
      <c r="C367" s="1215" t="s">
        <v>518</v>
      </c>
      <c r="D367" s="1216"/>
      <c r="E367" s="30" t="s">
        <v>282</v>
      </c>
      <c r="F367" s="31" t="s">
        <v>3</v>
      </c>
      <c r="G367" s="58" t="s">
        <v>290</v>
      </c>
      <c r="H367" s="104">
        <v>30810</v>
      </c>
      <c r="I367" s="74" t="s">
        <v>283</v>
      </c>
      <c r="J367" s="1199" t="s">
        <v>2569</v>
      </c>
      <c r="K367" s="1230"/>
      <c r="L367" s="1231"/>
      <c r="M367" s="1146"/>
      <c r="O367" s="42"/>
      <c r="P367" s="43"/>
      <c r="Q367" s="43"/>
      <c r="R367" s="43"/>
    </row>
    <row r="368" spans="1:18" ht="30" customHeight="1">
      <c r="A368" s="35" t="s">
        <v>293</v>
      </c>
      <c r="B368" s="1299" t="s">
        <v>284</v>
      </c>
      <c r="C368" s="1299"/>
      <c r="D368" s="1299"/>
      <c r="E368" s="310" t="s">
        <v>295</v>
      </c>
      <c r="F368" s="321" t="s">
        <v>2</v>
      </c>
      <c r="G368" s="1365" t="s">
        <v>332</v>
      </c>
      <c r="H368" s="1366"/>
      <c r="I368" s="1233" t="s">
        <v>426</v>
      </c>
      <c r="J368" s="1234"/>
      <c r="K368" s="1303" t="s">
        <v>297</v>
      </c>
      <c r="L368" s="1304"/>
      <c r="M368" s="1146"/>
      <c r="O368" s="42"/>
      <c r="P368" s="43"/>
      <c r="Q368" s="43"/>
      <c r="R368" s="43"/>
    </row>
    <row r="369" spans="1:21" ht="30" customHeight="1">
      <c r="A369" s="45">
        <v>93210</v>
      </c>
      <c r="B369" s="1383" t="s">
        <v>519</v>
      </c>
      <c r="C369" s="1384"/>
      <c r="D369" s="1385"/>
      <c r="E369" s="153">
        <v>2.8</v>
      </c>
      <c r="F369" s="48" t="s">
        <v>3</v>
      </c>
      <c r="G369" s="286"/>
      <c r="H369" s="286"/>
      <c r="I369" s="1192">
        <f>+'2019 MILCON Inflation Table'!F18</f>
        <v>0.94232233454704462</v>
      </c>
      <c r="J369" s="1193"/>
      <c r="K369" s="106">
        <f>+E369*I369</f>
        <v>2.6385025367317247</v>
      </c>
      <c r="L369" s="97" t="s">
        <v>3</v>
      </c>
      <c r="M369" s="1146"/>
      <c r="O369" s="42"/>
      <c r="P369" s="34"/>
      <c r="Q369" s="34"/>
      <c r="R369" s="34"/>
      <c r="S369" s="44"/>
      <c r="T369" s="44"/>
      <c r="U369" s="34"/>
    </row>
    <row r="370" spans="1:21" s="38" customFormat="1" ht="30" customHeight="1">
      <c r="A370" s="45">
        <v>93210</v>
      </c>
      <c r="B370" s="1386" t="s">
        <v>520</v>
      </c>
      <c r="C370" s="1386"/>
      <c r="D370" s="1386"/>
      <c r="E370" s="153">
        <v>2.2999999999999998</v>
      </c>
      <c r="F370" s="48" t="s">
        <v>3</v>
      </c>
      <c r="G370" s="100"/>
      <c r="H370" s="100"/>
      <c r="I370" s="1192">
        <f>+'2019 MILCON Inflation Table'!F18</f>
        <v>0.94232233454704462</v>
      </c>
      <c r="J370" s="1193"/>
      <c r="K370" s="106">
        <f>+E370*I370</f>
        <v>2.1673413694582027</v>
      </c>
      <c r="L370" s="97" t="s">
        <v>3</v>
      </c>
      <c r="M370" s="1146"/>
      <c r="N370" s="193"/>
      <c r="O370" s="1119"/>
      <c r="P370" s="39"/>
      <c r="Q370" s="39"/>
      <c r="R370" s="39"/>
      <c r="S370" s="84"/>
      <c r="T370" s="84"/>
      <c r="U370" s="39"/>
    </row>
    <row r="371" spans="1:21" ht="30" customHeight="1">
      <c r="A371" s="45">
        <v>85110</v>
      </c>
      <c r="B371" s="189" t="s">
        <v>521</v>
      </c>
      <c r="C371" s="189"/>
      <c r="D371" s="189"/>
      <c r="E371" s="153">
        <v>9.6999999999999993</v>
      </c>
      <c r="F371" s="48" t="s">
        <v>3</v>
      </c>
      <c r="G371" s="100"/>
      <c r="H371" s="100"/>
      <c r="I371" s="1192">
        <f>+'2019 MILCON Inflation Table'!F18</f>
        <v>0.94232233454704462</v>
      </c>
      <c r="J371" s="1193"/>
      <c r="K371" s="106">
        <f>+E371*I371</f>
        <v>9.1405266451063323</v>
      </c>
      <c r="L371" s="97" t="s">
        <v>3</v>
      </c>
      <c r="M371" s="1146"/>
      <c r="N371" s="963"/>
      <c r="P371" s="34"/>
      <c r="Q371" s="34"/>
      <c r="R371" s="34"/>
      <c r="S371" s="44"/>
      <c r="T371" s="44"/>
      <c r="U371" s="34"/>
    </row>
    <row r="372" spans="1:21" ht="30" customHeight="1">
      <c r="A372" s="45">
        <v>85110</v>
      </c>
      <c r="B372" s="189" t="s">
        <v>522</v>
      </c>
      <c r="C372" s="196"/>
      <c r="D372" s="197"/>
      <c r="E372" s="153">
        <v>58</v>
      </c>
      <c r="F372" s="48" t="s">
        <v>3</v>
      </c>
      <c r="G372" s="100"/>
      <c r="H372" s="100"/>
      <c r="I372" s="1192">
        <f>+'2019 MILCON Inflation Table'!F18</f>
        <v>0.94232233454704462</v>
      </c>
      <c r="J372" s="1193"/>
      <c r="K372" s="106">
        <f>+E372*I372</f>
        <v>54.654695403728589</v>
      </c>
      <c r="L372" s="97" t="s">
        <v>3</v>
      </c>
      <c r="M372" s="1146"/>
      <c r="P372" s="34"/>
      <c r="Q372" s="34"/>
      <c r="R372" s="34"/>
      <c r="S372" s="44"/>
      <c r="T372" s="44"/>
      <c r="U372" s="34"/>
    </row>
    <row r="373" spans="1:21" ht="30" customHeight="1">
      <c r="A373" s="45"/>
      <c r="B373" s="195"/>
      <c r="C373" s="196"/>
      <c r="D373" s="196"/>
      <c r="E373" s="322"/>
      <c r="F373" s="323"/>
      <c r="G373" s="200"/>
      <c r="H373" s="289"/>
      <c r="I373" s="291"/>
      <c r="J373" s="291" t="s">
        <v>379</v>
      </c>
      <c r="K373" s="106">
        <f>SUM(K369:K372)</f>
        <v>68.60106595502485</v>
      </c>
      <c r="L373" s="97" t="s">
        <v>3</v>
      </c>
      <c r="M373" s="1146"/>
      <c r="P373" s="34"/>
      <c r="Q373" s="34"/>
      <c r="R373" s="34"/>
      <c r="S373" s="44"/>
      <c r="T373" s="44"/>
      <c r="U373" s="34"/>
    </row>
    <row r="374" spans="1:21" ht="30" customHeight="1" thickBot="1">
      <c r="A374" s="45"/>
      <c r="B374" s="1406" t="s">
        <v>523</v>
      </c>
      <c r="C374" s="1407"/>
      <c r="D374" s="1407"/>
      <c r="E374" s="1407"/>
      <c r="F374" s="1407"/>
      <c r="G374" s="1407"/>
      <c r="H374" s="1408"/>
      <c r="I374" s="46"/>
      <c r="J374" s="37" t="s">
        <v>289</v>
      </c>
      <c r="K374" s="87">
        <f>+K373</f>
        <v>68.60106595502485</v>
      </c>
      <c r="L374" s="48" t="s">
        <v>3</v>
      </c>
      <c r="M374" s="1146"/>
    </row>
    <row r="375" spans="1:21" ht="30" customHeight="1" thickBot="1">
      <c r="A375" s="1165"/>
      <c r="B375" s="1166"/>
      <c r="C375" s="1166"/>
      <c r="D375" s="1166"/>
      <c r="E375" s="1166"/>
      <c r="F375" s="1166"/>
      <c r="G375" s="1166"/>
      <c r="H375" s="1166"/>
      <c r="I375" s="1166"/>
      <c r="J375" s="1166"/>
      <c r="K375" s="1166"/>
      <c r="L375" s="1167"/>
      <c r="M375" s="1146"/>
    </row>
    <row r="376" spans="1:21" ht="30" customHeight="1">
      <c r="A376" s="27" t="s">
        <v>280</v>
      </c>
      <c r="B376" s="82">
        <v>1541</v>
      </c>
      <c r="C376" s="1197" t="s">
        <v>524</v>
      </c>
      <c r="D376" s="1198"/>
      <c r="E376" s="74" t="s">
        <v>282</v>
      </c>
      <c r="F376" s="75" t="s">
        <v>6</v>
      </c>
      <c r="G376" s="58" t="s">
        <v>290</v>
      </c>
      <c r="H376" s="215">
        <v>2736</v>
      </c>
      <c r="I376" s="74" t="s">
        <v>283</v>
      </c>
      <c r="J376" s="1310" t="s">
        <v>2529</v>
      </c>
      <c r="K376" s="1310"/>
      <c r="L376" s="1311"/>
      <c r="M376" s="1146"/>
      <c r="P376" s="34"/>
      <c r="Q376" s="34"/>
      <c r="R376" s="34"/>
      <c r="S376" s="44"/>
      <c r="T376" s="44"/>
      <c r="U376" s="34"/>
    </row>
    <row r="377" spans="1:21" s="38" customFormat="1" ht="30" customHeight="1">
      <c r="A377" s="37" t="s">
        <v>304</v>
      </c>
      <c r="B377" s="1201" t="s">
        <v>330</v>
      </c>
      <c r="C377" s="1202"/>
      <c r="D377" s="1203"/>
      <c r="E377" s="150" t="s">
        <v>295</v>
      </c>
      <c r="F377" s="150" t="s">
        <v>331</v>
      </c>
      <c r="G377" s="1204" t="s">
        <v>332</v>
      </c>
      <c r="H377" s="1205"/>
      <c r="I377" s="151" t="s">
        <v>305</v>
      </c>
      <c r="J377" s="151"/>
      <c r="K377" s="1206" t="s">
        <v>297</v>
      </c>
      <c r="L377" s="1207"/>
      <c r="M377" s="1146"/>
      <c r="N377" s="193"/>
      <c r="O377" s="1119"/>
      <c r="P377" s="39"/>
      <c r="Q377" s="39"/>
      <c r="R377" s="39"/>
      <c r="S377" s="84"/>
      <c r="T377" s="84"/>
      <c r="U377" s="39"/>
    </row>
    <row r="378" spans="1:21" ht="30" customHeight="1">
      <c r="A378" s="45" t="s">
        <v>525</v>
      </c>
      <c r="B378" s="1176" t="s">
        <v>526</v>
      </c>
      <c r="C378" s="1177"/>
      <c r="D378" s="1178"/>
      <c r="E378" s="153">
        <f>+(530+870)/2</f>
        <v>700</v>
      </c>
      <c r="F378" s="20" t="s">
        <v>6</v>
      </c>
      <c r="G378" s="324">
        <v>0.5</v>
      </c>
      <c r="H378" s="325" t="s">
        <v>527</v>
      </c>
      <c r="I378" s="20">
        <v>1.0900000000000001</v>
      </c>
      <c r="J378" s="326"/>
      <c r="K378" s="153">
        <f>+E378*I378*G378</f>
        <v>381.5</v>
      </c>
      <c r="L378" s="20" t="s">
        <v>6</v>
      </c>
      <c r="M378" s="1146"/>
      <c r="P378" s="34"/>
      <c r="Q378" s="34"/>
      <c r="R378" s="34"/>
      <c r="S378" s="44"/>
      <c r="T378" s="44"/>
      <c r="U378" s="34"/>
    </row>
    <row r="379" spans="1:21" ht="30" customHeight="1">
      <c r="A379" s="45"/>
      <c r="B379" s="157"/>
      <c r="C379" s="157"/>
      <c r="D379" s="157"/>
      <c r="E379" s="153"/>
      <c r="F379" s="1174" t="s">
        <v>308</v>
      </c>
      <c r="G379" s="1208" t="s">
        <v>309</v>
      </c>
      <c r="H379" s="1208"/>
      <c r="I379" s="1208"/>
      <c r="J379" s="1208"/>
      <c r="K379" s="123">
        <v>1.06</v>
      </c>
      <c r="L379" s="10"/>
      <c r="M379" s="1146"/>
      <c r="P379" s="34"/>
      <c r="Q379" s="34"/>
      <c r="R379" s="34"/>
      <c r="S379" s="44"/>
      <c r="T379" s="44"/>
      <c r="U379" s="34"/>
    </row>
    <row r="380" spans="1:21" ht="30" customHeight="1">
      <c r="A380" s="45"/>
      <c r="B380" s="157"/>
      <c r="C380" s="157"/>
      <c r="D380" s="157"/>
      <c r="E380" s="153"/>
      <c r="F380" s="1175"/>
      <c r="G380" s="1209" t="s">
        <v>310</v>
      </c>
      <c r="H380" s="1209"/>
      <c r="I380" s="1209"/>
      <c r="J380" s="1209"/>
      <c r="K380" s="123">
        <v>1.07</v>
      </c>
      <c r="L380" s="10"/>
      <c r="M380" s="1146"/>
      <c r="N380" s="964"/>
      <c r="P380" s="34"/>
      <c r="Q380" s="34"/>
      <c r="R380" s="34"/>
      <c r="S380" s="44"/>
      <c r="T380" s="44"/>
      <c r="U380" s="34"/>
    </row>
    <row r="381" spans="1:21" ht="30" customHeight="1">
      <c r="A381" s="45"/>
      <c r="B381" s="20"/>
      <c r="C381" s="18"/>
      <c r="D381" s="18"/>
      <c r="E381" s="18"/>
      <c r="F381" s="18"/>
      <c r="G381" s="18"/>
      <c r="H381" s="18"/>
      <c r="I381" s="18"/>
      <c r="J381" s="18" t="s">
        <v>289</v>
      </c>
      <c r="K381" s="23">
        <f>+K378*K379/K380</f>
        <v>377.93457943925233</v>
      </c>
      <c r="L381" s="20" t="s">
        <v>6</v>
      </c>
      <c r="M381" s="1146"/>
      <c r="N381" s="964"/>
      <c r="P381" s="34"/>
      <c r="Q381" s="34"/>
      <c r="R381" s="34"/>
      <c r="S381" s="44"/>
      <c r="T381" s="44"/>
      <c r="U381" s="34"/>
    </row>
    <row r="382" spans="1:21" ht="30" customHeight="1" thickBot="1">
      <c r="A382" s="45"/>
      <c r="B382" s="20"/>
      <c r="C382" s="18"/>
      <c r="D382" s="18"/>
      <c r="E382" s="18"/>
      <c r="F382" s="18"/>
      <c r="G382" s="160" t="s">
        <v>312</v>
      </c>
      <c r="H382" s="18"/>
      <c r="I382" s="18"/>
      <c r="J382" s="139">
        <f>VLOOKUP(B376,'Mil Cost Premiums for RUCs'!$A$4:$R$266,18,FALSE)</f>
        <v>1.0209999999999999</v>
      </c>
      <c r="K382" s="23">
        <f>+K381*J382</f>
        <v>385.87120560747661</v>
      </c>
      <c r="L382" s="20" t="s">
        <v>6</v>
      </c>
      <c r="M382" s="1146"/>
      <c r="N382" s="964"/>
      <c r="P382" s="34"/>
      <c r="Q382" s="34"/>
      <c r="R382" s="34"/>
      <c r="S382" s="44"/>
      <c r="T382" s="44"/>
      <c r="U382" s="34"/>
    </row>
    <row r="383" spans="1:21" ht="30" customHeight="1" thickBot="1">
      <c r="A383" s="1165"/>
      <c r="B383" s="1166"/>
      <c r="C383" s="1166"/>
      <c r="D383" s="1166"/>
      <c r="E383" s="1166"/>
      <c r="F383" s="1166"/>
      <c r="G383" s="1166"/>
      <c r="H383" s="1166"/>
      <c r="I383" s="1166"/>
      <c r="J383" s="1166"/>
      <c r="K383" s="1166"/>
      <c r="L383" s="1167"/>
      <c r="M383" s="1146"/>
      <c r="N383" s="964"/>
      <c r="P383" s="34"/>
      <c r="Q383" s="34"/>
      <c r="R383" s="34"/>
      <c r="S383" s="44"/>
      <c r="T383" s="44"/>
      <c r="U383" s="34"/>
    </row>
    <row r="384" spans="1:21" ht="30" customHeight="1">
      <c r="A384" s="27" t="s">
        <v>280</v>
      </c>
      <c r="B384" s="82">
        <v>1551</v>
      </c>
      <c r="C384" s="1197" t="s">
        <v>528</v>
      </c>
      <c r="D384" s="1198"/>
      <c r="E384" s="74" t="s">
        <v>282</v>
      </c>
      <c r="F384" s="75" t="s">
        <v>29</v>
      </c>
      <c r="G384" s="58" t="s">
        <v>290</v>
      </c>
      <c r="H384" s="145">
        <v>300</v>
      </c>
      <c r="I384" s="74" t="s">
        <v>283</v>
      </c>
      <c r="J384" s="1310" t="s">
        <v>2529</v>
      </c>
      <c r="K384" s="1310"/>
      <c r="L384" s="1311"/>
      <c r="M384" s="1146"/>
      <c r="P384" s="34"/>
      <c r="Q384" s="34"/>
      <c r="R384" s="34"/>
      <c r="S384" s="44"/>
      <c r="T384" s="44"/>
      <c r="U384" s="34"/>
    </row>
    <row r="385" spans="1:21" ht="30" customHeight="1">
      <c r="A385" s="37" t="s">
        <v>304</v>
      </c>
      <c r="B385" s="1201" t="s">
        <v>330</v>
      </c>
      <c r="C385" s="1202"/>
      <c r="D385" s="1203"/>
      <c r="E385" s="150" t="s">
        <v>295</v>
      </c>
      <c r="F385" s="150" t="s">
        <v>331</v>
      </c>
      <c r="G385" s="1204" t="s">
        <v>332</v>
      </c>
      <c r="H385" s="1205"/>
      <c r="I385" s="151" t="s">
        <v>305</v>
      </c>
      <c r="J385" s="151"/>
      <c r="K385" s="1206" t="s">
        <v>297</v>
      </c>
      <c r="L385" s="1207"/>
      <c r="M385" s="1146"/>
    </row>
    <row r="386" spans="1:21" ht="30" customHeight="1">
      <c r="A386" s="45" t="s">
        <v>306</v>
      </c>
      <c r="B386" s="1176" t="s">
        <v>529</v>
      </c>
      <c r="C386" s="1177"/>
      <c r="D386" s="1178"/>
      <c r="E386" s="153">
        <f>+(52+77.5)/2</f>
        <v>64.75</v>
      </c>
      <c r="F386" s="20" t="s">
        <v>8</v>
      </c>
      <c r="G386" s="327">
        <v>30</v>
      </c>
      <c r="H386" s="325" t="s">
        <v>530</v>
      </c>
      <c r="I386" s="326">
        <v>1.04</v>
      </c>
      <c r="J386" s="20"/>
      <c r="K386" s="153">
        <f>+E386*G386*I386</f>
        <v>2020.2</v>
      </c>
      <c r="L386" s="20" t="s">
        <v>29</v>
      </c>
      <c r="M386" s="1146"/>
    </row>
    <row r="387" spans="1:21" ht="30" customHeight="1">
      <c r="A387" s="45"/>
      <c r="B387" s="1224" t="s">
        <v>531</v>
      </c>
      <c r="C387" s="1224"/>
      <c r="D387" s="1224"/>
      <c r="E387" s="153"/>
      <c r="F387" s="20"/>
      <c r="G387" s="328"/>
      <c r="H387" s="329"/>
      <c r="I387" s="20"/>
      <c r="J387" s="20"/>
      <c r="K387" s="153"/>
      <c r="L387" s="20"/>
      <c r="M387" s="1146"/>
      <c r="N387" s="612"/>
      <c r="P387" s="34"/>
      <c r="Q387" s="34"/>
      <c r="R387" s="34"/>
      <c r="S387" s="44"/>
      <c r="T387" s="44"/>
      <c r="U387" s="34"/>
    </row>
    <row r="388" spans="1:21" s="38" customFormat="1" ht="30" customHeight="1">
      <c r="A388" s="45"/>
      <c r="B388" s="157"/>
      <c r="C388" s="157"/>
      <c r="D388" s="330" t="s">
        <v>532</v>
      </c>
      <c r="E388" s="153"/>
      <c r="F388" s="1174" t="s">
        <v>308</v>
      </c>
      <c r="G388" s="1208" t="s">
        <v>309</v>
      </c>
      <c r="H388" s="1208"/>
      <c r="I388" s="1208"/>
      <c r="J388" s="1208"/>
      <c r="K388" s="123">
        <v>1.06</v>
      </c>
      <c r="L388" s="10"/>
      <c r="M388" s="1146"/>
      <c r="N388" s="612"/>
      <c r="O388" s="1119"/>
      <c r="P388" s="39"/>
      <c r="Q388" s="39"/>
      <c r="R388" s="39"/>
      <c r="S388" s="84"/>
      <c r="T388" s="84"/>
      <c r="U388" s="39"/>
    </row>
    <row r="389" spans="1:21" s="32" customFormat="1" ht="30" customHeight="1">
      <c r="A389" s="45"/>
      <c r="B389" s="157"/>
      <c r="C389" s="157"/>
      <c r="D389" s="157"/>
      <c r="E389" s="153"/>
      <c r="F389" s="1175"/>
      <c r="G389" s="1209" t="s">
        <v>310</v>
      </c>
      <c r="H389" s="1209"/>
      <c r="I389" s="1209"/>
      <c r="J389" s="1209"/>
      <c r="K389" s="123">
        <v>1.07</v>
      </c>
      <c r="L389" s="10"/>
      <c r="M389" s="1146"/>
      <c r="N389" s="125"/>
      <c r="O389" s="33"/>
    </row>
    <row r="390" spans="1:21" ht="30" customHeight="1">
      <c r="A390" s="45"/>
      <c r="B390" s="20"/>
      <c r="C390" s="18"/>
      <c r="D390" s="18"/>
      <c r="E390" s="18"/>
      <c r="F390" s="18"/>
      <c r="G390" s="18"/>
      <c r="H390" s="18"/>
      <c r="I390" s="18"/>
      <c r="J390" s="18" t="s">
        <v>289</v>
      </c>
      <c r="K390" s="23">
        <f>+K386*K388/K389</f>
        <v>2001.3196261682244</v>
      </c>
      <c r="L390" s="20" t="s">
        <v>29</v>
      </c>
      <c r="M390" s="1146"/>
    </row>
    <row r="391" spans="1:21" ht="30" customHeight="1" thickBot="1">
      <c r="A391" s="45"/>
      <c r="B391" s="20"/>
      <c r="C391" s="18"/>
      <c r="E391" s="18"/>
      <c r="F391" s="18"/>
      <c r="G391" s="160" t="s">
        <v>312</v>
      </c>
      <c r="H391" s="18"/>
      <c r="I391" s="18"/>
      <c r="J391" s="139">
        <f>VLOOKUP(B384,'Mil Cost Premiums for RUCs'!$A$4:$R$266,18,FALSE)</f>
        <v>1.0905505199999999</v>
      </c>
      <c r="K391" s="23">
        <f>+K390*J391</f>
        <v>2182.5401590039623</v>
      </c>
      <c r="L391" s="20" t="s">
        <v>29</v>
      </c>
      <c r="M391" s="1146"/>
    </row>
    <row r="392" spans="1:21" ht="30" customHeight="1" thickBot="1">
      <c r="A392" s="1165"/>
      <c r="B392" s="1166"/>
      <c r="C392" s="1166"/>
      <c r="D392" s="1166"/>
      <c r="E392" s="1166"/>
      <c r="F392" s="1166"/>
      <c r="G392" s="1166"/>
      <c r="H392" s="1166"/>
      <c r="I392" s="1166"/>
      <c r="J392" s="1166"/>
      <c r="K392" s="1166"/>
      <c r="L392" s="1167"/>
      <c r="M392" s="1146"/>
      <c r="O392" s="146"/>
      <c r="P392" s="147"/>
      <c r="T392" s="149"/>
    </row>
    <row r="393" spans="1:21" s="38" customFormat="1" ht="30" customHeight="1">
      <c r="A393" s="27" t="s">
        <v>280</v>
      </c>
      <c r="B393" s="82">
        <v>1552</v>
      </c>
      <c r="C393" s="1197" t="s">
        <v>533</v>
      </c>
      <c r="D393" s="1198"/>
      <c r="E393" s="74" t="s">
        <v>282</v>
      </c>
      <c r="F393" s="75" t="s">
        <v>8</v>
      </c>
      <c r="G393" s="58" t="s">
        <v>290</v>
      </c>
      <c r="H393" s="215">
        <v>5309</v>
      </c>
      <c r="I393" s="74" t="s">
        <v>283</v>
      </c>
      <c r="J393" s="1310" t="s">
        <v>2527</v>
      </c>
      <c r="K393" s="1310"/>
      <c r="L393" s="1311"/>
      <c r="M393" s="1146"/>
      <c r="N393" s="193"/>
      <c r="O393" s="152"/>
      <c r="P393" s="147"/>
      <c r="T393" s="149"/>
    </row>
    <row r="394" spans="1:21" ht="30" customHeight="1">
      <c r="A394" s="37" t="s">
        <v>304</v>
      </c>
      <c r="B394" s="1201" t="s">
        <v>330</v>
      </c>
      <c r="C394" s="1202"/>
      <c r="D394" s="1203"/>
      <c r="E394" s="150" t="s">
        <v>295</v>
      </c>
      <c r="F394" s="150" t="s">
        <v>331</v>
      </c>
      <c r="G394" s="1204" t="s">
        <v>332</v>
      </c>
      <c r="H394" s="1205"/>
      <c r="I394" s="151" t="s">
        <v>305</v>
      </c>
      <c r="J394" s="151"/>
      <c r="K394" s="1206" t="s">
        <v>297</v>
      </c>
      <c r="L394" s="1207"/>
      <c r="M394" s="1146"/>
      <c r="O394" s="146"/>
      <c r="P394" s="147"/>
      <c r="T394" s="149"/>
    </row>
    <row r="395" spans="1:21" ht="30" customHeight="1">
      <c r="A395" s="45" t="s">
        <v>534</v>
      </c>
      <c r="B395" s="1176" t="s">
        <v>535</v>
      </c>
      <c r="C395" s="1177"/>
      <c r="D395" s="1178"/>
      <c r="E395" s="153">
        <v>29.75</v>
      </c>
      <c r="F395" s="20" t="s">
        <v>8</v>
      </c>
      <c r="G395" s="327"/>
      <c r="H395" s="325"/>
      <c r="I395" s="20">
        <v>1.08</v>
      </c>
      <c r="J395" s="20"/>
      <c r="K395" s="153">
        <f>+E395*I395</f>
        <v>32.130000000000003</v>
      </c>
      <c r="L395" s="20" t="s">
        <v>8</v>
      </c>
      <c r="M395" s="1146"/>
      <c r="O395" s="146"/>
      <c r="P395" s="147"/>
      <c r="T395" s="149"/>
    </row>
    <row r="396" spans="1:21" ht="30" customHeight="1">
      <c r="A396" s="45"/>
      <c r="B396" s="1027"/>
      <c r="C396" s="1028"/>
      <c r="D396" s="1029"/>
      <c r="E396" s="153"/>
      <c r="F396" s="634"/>
      <c r="G396" s="327"/>
      <c r="H396" s="1029"/>
      <c r="I396" s="20"/>
      <c r="J396" s="20"/>
      <c r="K396" s="153"/>
      <c r="L396" s="20"/>
      <c r="M396" s="1146"/>
      <c r="O396" s="146"/>
      <c r="P396" s="147"/>
      <c r="T396" s="149"/>
    </row>
    <row r="397" spans="1:21" ht="30" customHeight="1">
      <c r="A397" s="45"/>
      <c r="B397" s="157"/>
      <c r="C397" s="157"/>
      <c r="D397" s="157"/>
      <c r="E397" s="153"/>
      <c r="F397" s="1174" t="s">
        <v>308</v>
      </c>
      <c r="G397" s="1208" t="s">
        <v>309</v>
      </c>
      <c r="H397" s="1208"/>
      <c r="I397" s="1208"/>
      <c r="J397" s="1208"/>
      <c r="K397" s="123">
        <v>1.03</v>
      </c>
      <c r="L397" s="10"/>
      <c r="M397" s="1146"/>
      <c r="O397" s="146"/>
      <c r="P397" s="147"/>
      <c r="T397" s="149"/>
    </row>
    <row r="398" spans="1:21" ht="30" customHeight="1">
      <c r="A398" s="45"/>
      <c r="B398" s="157"/>
      <c r="C398" s="157"/>
      <c r="D398" s="157"/>
      <c r="E398" s="153"/>
      <c r="F398" s="1175"/>
      <c r="G398" s="1209" t="s">
        <v>310</v>
      </c>
      <c r="H398" s="1209"/>
      <c r="I398" s="1209"/>
      <c r="J398" s="1209"/>
      <c r="K398" s="123">
        <v>1.07</v>
      </c>
      <c r="L398" s="10"/>
      <c r="M398" s="1146"/>
      <c r="O398" s="146"/>
      <c r="P398" s="147"/>
      <c r="T398" s="149"/>
    </row>
    <row r="399" spans="1:21" ht="30" customHeight="1">
      <c r="A399" s="45"/>
      <c r="B399" s="20"/>
      <c r="C399" s="18"/>
      <c r="D399" s="18"/>
      <c r="E399" s="18"/>
      <c r="F399" s="18"/>
      <c r="G399" s="18"/>
      <c r="H399" s="18"/>
      <c r="I399" s="18"/>
      <c r="J399" s="18" t="s">
        <v>289</v>
      </c>
      <c r="K399" s="23">
        <f>+K395*K397/K398</f>
        <v>30.928878504672902</v>
      </c>
      <c r="L399" s="20" t="s">
        <v>8</v>
      </c>
      <c r="M399" s="1146"/>
      <c r="N399" s="1103"/>
      <c r="O399"/>
      <c r="P399" s="148"/>
      <c r="Q399" s="41"/>
      <c r="R399" s="149"/>
    </row>
    <row r="400" spans="1:21" ht="30" customHeight="1" thickBot="1">
      <c r="A400" s="45"/>
      <c r="B400" s="20"/>
      <c r="C400" s="18"/>
      <c r="D400" s="18"/>
      <c r="E400" s="18"/>
      <c r="F400" s="18"/>
      <c r="G400" s="160" t="s">
        <v>312</v>
      </c>
      <c r="H400" s="18"/>
      <c r="I400" s="18"/>
      <c r="J400" s="139">
        <f>VLOOKUP(B393,'Mil Cost Premiums for RUCs'!$A$4:$R$266,18,FALSE)</f>
        <v>1.1223763993485734</v>
      </c>
      <c r="K400" s="23">
        <f>+K399*J400</f>
        <v>34.71384329196426</v>
      </c>
      <c r="L400" s="20" t="s">
        <v>8</v>
      </c>
      <c r="M400" s="1146"/>
      <c r="P400" s="34"/>
      <c r="Q400" s="34"/>
      <c r="R400" s="34"/>
      <c r="S400" s="44"/>
      <c r="T400" s="44"/>
      <c r="U400" s="34"/>
    </row>
    <row r="401" spans="1:21" s="38" customFormat="1" ht="30" customHeight="1" thickBot="1">
      <c r="A401" s="1165"/>
      <c r="B401" s="1166"/>
      <c r="C401" s="1166"/>
      <c r="D401" s="1166"/>
      <c r="E401" s="1166"/>
      <c r="F401" s="1166"/>
      <c r="G401" s="1166"/>
      <c r="H401" s="1166"/>
      <c r="I401" s="1166"/>
      <c r="J401" s="1166"/>
      <c r="K401" s="1166"/>
      <c r="L401" s="1167"/>
      <c r="M401" s="1146"/>
      <c r="N401" s="193"/>
      <c r="O401" s="1119"/>
      <c r="P401" s="39"/>
      <c r="Q401" s="39"/>
      <c r="R401" s="39"/>
      <c r="S401" s="84"/>
      <c r="T401" s="84"/>
      <c r="U401" s="39"/>
    </row>
    <row r="402" spans="1:21" s="32" customFormat="1" ht="30" customHeight="1">
      <c r="A402" s="27" t="s">
        <v>280</v>
      </c>
      <c r="B402" s="82">
        <v>1591</v>
      </c>
      <c r="C402" s="1197" t="s">
        <v>536</v>
      </c>
      <c r="D402" s="1198"/>
      <c r="E402" s="74" t="s">
        <v>282</v>
      </c>
      <c r="F402" s="75" t="s">
        <v>10</v>
      </c>
      <c r="G402" s="181" t="s">
        <v>281</v>
      </c>
      <c r="H402" s="76">
        <v>2500</v>
      </c>
      <c r="I402" s="74" t="s">
        <v>283</v>
      </c>
      <c r="J402" s="1310" t="s">
        <v>2527</v>
      </c>
      <c r="K402" s="1310"/>
      <c r="L402" s="1311"/>
      <c r="M402" s="1146"/>
      <c r="N402" s="615"/>
      <c r="O402" s="33"/>
    </row>
    <row r="403" spans="1:21" ht="30" customHeight="1">
      <c r="A403" s="37" t="s">
        <v>304</v>
      </c>
      <c r="B403" s="1201" t="s">
        <v>330</v>
      </c>
      <c r="C403" s="1202"/>
      <c r="D403" s="1203"/>
      <c r="E403" s="150" t="s">
        <v>295</v>
      </c>
      <c r="F403" s="150" t="s">
        <v>331</v>
      </c>
      <c r="G403" s="1204" t="s">
        <v>332</v>
      </c>
      <c r="H403" s="1205"/>
      <c r="I403" s="77" t="s">
        <v>305</v>
      </c>
      <c r="J403" s="77"/>
      <c r="K403" s="1206" t="s">
        <v>297</v>
      </c>
      <c r="L403" s="1207"/>
      <c r="M403" s="1146"/>
    </row>
    <row r="404" spans="1:21" ht="30" customHeight="1">
      <c r="A404" s="45" t="s">
        <v>342</v>
      </c>
      <c r="B404" s="1179" t="s">
        <v>537</v>
      </c>
      <c r="C404" s="1180"/>
      <c r="D404" s="1181"/>
      <c r="E404" s="331">
        <v>0.59</v>
      </c>
      <c r="F404" s="22" t="s">
        <v>8</v>
      </c>
      <c r="G404" s="332">
        <f>+H402</f>
        <v>2500</v>
      </c>
      <c r="H404" s="333" t="s">
        <v>334</v>
      </c>
      <c r="I404" s="334">
        <v>1.05</v>
      </c>
      <c r="J404" s="20"/>
      <c r="K404" s="331">
        <f>+E404*G404*I404</f>
        <v>1548.75</v>
      </c>
      <c r="L404" s="22" t="s">
        <v>10</v>
      </c>
      <c r="M404" s="1146"/>
    </row>
    <row r="405" spans="1:21" ht="30" customHeight="1">
      <c r="A405" s="45" t="s">
        <v>538</v>
      </c>
      <c r="B405" s="1179" t="s">
        <v>539</v>
      </c>
      <c r="C405" s="1180"/>
      <c r="D405" s="1181"/>
      <c r="E405" s="335">
        <f>((4.56+6.81)/2)+(4*(0.41+0.6)/2)+((0.48+2.41)/2)</f>
        <v>9.15</v>
      </c>
      <c r="F405" s="22" t="s">
        <v>8</v>
      </c>
      <c r="G405" s="332">
        <f>+H402</f>
        <v>2500</v>
      </c>
      <c r="H405" s="333" t="s">
        <v>334</v>
      </c>
      <c r="I405" s="334">
        <v>1.05</v>
      </c>
      <c r="J405" s="20"/>
      <c r="K405" s="331">
        <f>+E405*G405*I405</f>
        <v>24018.75</v>
      </c>
      <c r="L405" s="22" t="s">
        <v>10</v>
      </c>
      <c r="M405" s="1146"/>
      <c r="P405" s="34"/>
      <c r="Q405" s="34"/>
      <c r="R405" s="34"/>
      <c r="S405" s="44"/>
      <c r="T405" s="44"/>
      <c r="U405" s="34"/>
    </row>
    <row r="406" spans="1:21" s="38" customFormat="1" ht="30" customHeight="1">
      <c r="A406" s="45" t="s">
        <v>306</v>
      </c>
      <c r="B406" s="1176" t="s">
        <v>2604</v>
      </c>
      <c r="C406" s="1177"/>
      <c r="D406" s="1178"/>
      <c r="E406" s="153">
        <f>(52+77.5)/2</f>
        <v>64.75</v>
      </c>
      <c r="F406" s="20" t="s">
        <v>8</v>
      </c>
      <c r="G406" s="327">
        <v>500</v>
      </c>
      <c r="H406" s="252" t="s">
        <v>334</v>
      </c>
      <c r="I406" s="326">
        <v>1.04</v>
      </c>
      <c r="J406" s="20"/>
      <c r="K406" s="331">
        <f>+E406*G406*I406</f>
        <v>33670</v>
      </c>
      <c r="L406" s="22" t="s">
        <v>10</v>
      </c>
      <c r="M406" s="1146"/>
      <c r="N406" s="193"/>
      <c r="O406" s="1119"/>
      <c r="P406" s="39"/>
      <c r="Q406" s="39"/>
      <c r="R406" s="39"/>
      <c r="S406" s="84"/>
      <c r="T406" s="84"/>
      <c r="U406" s="39"/>
    </row>
    <row r="407" spans="1:21" s="32" customFormat="1" ht="30" customHeight="1">
      <c r="A407" s="46"/>
      <c r="B407" s="1267" t="s">
        <v>2603</v>
      </c>
      <c r="C407" s="1267"/>
      <c r="D407" s="1267"/>
      <c r="E407" s="153"/>
      <c r="F407" s="20"/>
      <c r="G407" s="20"/>
      <c r="H407" s="20"/>
      <c r="I407" s="20"/>
      <c r="J407" s="20" t="s">
        <v>379</v>
      </c>
      <c r="K407" s="212">
        <f>SUM(K404:K406)</f>
        <v>59237.5</v>
      </c>
      <c r="L407" s="20" t="s">
        <v>10</v>
      </c>
      <c r="M407" s="1146"/>
      <c r="N407" s="125"/>
      <c r="O407" s="33"/>
    </row>
    <row r="408" spans="1:21" ht="30" customHeight="1">
      <c r="A408" s="45"/>
      <c r="B408" s="157"/>
      <c r="C408" s="157"/>
      <c r="D408" s="157"/>
      <c r="E408" s="153"/>
      <c r="F408" s="1174" t="s">
        <v>308</v>
      </c>
      <c r="G408" s="1208" t="s">
        <v>309</v>
      </c>
      <c r="H408" s="1208"/>
      <c r="I408" s="1208"/>
      <c r="J408" s="1208"/>
      <c r="K408" s="123">
        <v>1.06</v>
      </c>
      <c r="L408" s="10"/>
      <c r="M408" s="1146"/>
    </row>
    <row r="409" spans="1:21" ht="30" customHeight="1">
      <c r="A409" s="45"/>
      <c r="B409" s="157"/>
      <c r="C409" s="157"/>
      <c r="D409" s="157"/>
      <c r="E409" s="153"/>
      <c r="F409" s="1175"/>
      <c r="G409" s="1209" t="s">
        <v>310</v>
      </c>
      <c r="H409" s="1209"/>
      <c r="I409" s="1209"/>
      <c r="J409" s="1209"/>
      <c r="K409" s="123">
        <v>1.07</v>
      </c>
      <c r="L409" s="10"/>
      <c r="M409" s="1146"/>
    </row>
    <row r="410" spans="1:21" ht="30" customHeight="1">
      <c r="A410" s="46"/>
      <c r="B410" s="20"/>
      <c r="C410" s="18"/>
      <c r="D410" s="18"/>
      <c r="E410" s="18"/>
      <c r="F410" s="18"/>
      <c r="G410" s="18"/>
      <c r="H410" s="18"/>
      <c r="I410" s="18"/>
      <c r="J410" s="18" t="s">
        <v>289</v>
      </c>
      <c r="K410" s="103">
        <f>+K407*K408/K409</f>
        <v>58683.878504672895</v>
      </c>
      <c r="L410" s="20" t="s">
        <v>10</v>
      </c>
      <c r="M410" s="1146"/>
      <c r="P410" s="34"/>
      <c r="Q410" s="34"/>
      <c r="R410" s="34"/>
      <c r="S410" s="44"/>
      <c r="T410" s="44"/>
      <c r="U410" s="34"/>
    </row>
    <row r="411" spans="1:21" s="38" customFormat="1" ht="30" customHeight="1" thickBot="1">
      <c r="A411" s="46"/>
      <c r="B411" s="20"/>
      <c r="C411" s="18"/>
      <c r="D411" s="18"/>
      <c r="E411" s="18"/>
      <c r="F411" s="18"/>
      <c r="G411" s="160" t="s">
        <v>312</v>
      </c>
      <c r="H411" s="18"/>
      <c r="I411" s="18"/>
      <c r="J411" s="139">
        <f>VLOOKUP(B402,'Mil Cost Premiums for RUCs'!$A$4:$R$266,18,FALSE)</f>
        <v>1.0209999999999999</v>
      </c>
      <c r="K411" s="103">
        <f>+K410*J411</f>
        <v>59916.239953271019</v>
      </c>
      <c r="L411" s="20" t="s">
        <v>10</v>
      </c>
      <c r="M411" s="1146"/>
      <c r="N411" s="193"/>
      <c r="O411" s="1119"/>
      <c r="P411" s="39"/>
      <c r="Q411" s="39"/>
      <c r="R411" s="39"/>
      <c r="S411" s="84"/>
      <c r="T411" s="84"/>
      <c r="U411" s="39"/>
    </row>
    <row r="412" spans="1:21" s="32" customFormat="1" ht="30" customHeight="1" thickBot="1">
      <c r="A412" s="1165"/>
      <c r="B412" s="1166"/>
      <c r="C412" s="1166"/>
      <c r="D412" s="1166"/>
      <c r="E412" s="1166"/>
      <c r="F412" s="1166"/>
      <c r="G412" s="1166"/>
      <c r="H412" s="1166"/>
      <c r="I412" s="1166"/>
      <c r="J412" s="1166"/>
      <c r="K412" s="1166"/>
      <c r="L412" s="1167"/>
      <c r="M412" s="1146"/>
      <c r="N412" s="612"/>
      <c r="O412" s="33"/>
    </row>
    <row r="413" spans="1:21" ht="30" customHeight="1">
      <c r="A413" s="1128" t="s">
        <v>280</v>
      </c>
      <c r="B413" s="1134">
        <v>1593</v>
      </c>
      <c r="C413" s="1740" t="s">
        <v>2501</v>
      </c>
      <c r="D413" s="1741"/>
      <c r="E413" s="644" t="s">
        <v>282</v>
      </c>
      <c r="F413" s="645" t="s">
        <v>3</v>
      </c>
      <c r="G413" s="1135" t="s">
        <v>281</v>
      </c>
      <c r="H413" s="1136">
        <v>600</v>
      </c>
      <c r="I413" s="644" t="s">
        <v>283</v>
      </c>
      <c r="J413" s="1417" t="s">
        <v>2527</v>
      </c>
      <c r="K413" s="1418"/>
      <c r="L413" s="1419"/>
      <c r="M413" s="1146"/>
    </row>
    <row r="414" spans="1:21" ht="30" customHeight="1">
      <c r="A414" s="37" t="s">
        <v>304</v>
      </c>
      <c r="B414" s="1201" t="s">
        <v>330</v>
      </c>
      <c r="C414" s="1202"/>
      <c r="D414" s="1203"/>
      <c r="E414" s="150" t="s">
        <v>295</v>
      </c>
      <c r="F414" s="150" t="s">
        <v>331</v>
      </c>
      <c r="G414" s="1204" t="s">
        <v>332</v>
      </c>
      <c r="H414" s="1205"/>
      <c r="I414" s="77" t="s">
        <v>305</v>
      </c>
      <c r="J414" s="77"/>
      <c r="K414" s="1206" t="s">
        <v>297</v>
      </c>
      <c r="L414" s="1207"/>
      <c r="M414" s="1146"/>
    </row>
    <row r="415" spans="1:21" ht="30" customHeight="1">
      <c r="A415" s="45" t="s">
        <v>480</v>
      </c>
      <c r="B415" s="1179" t="s">
        <v>2502</v>
      </c>
      <c r="C415" s="1180"/>
      <c r="D415" s="1181"/>
      <c r="E415" s="331">
        <f>+(7.04+8.23)/2</f>
        <v>7.6349999999999998</v>
      </c>
      <c r="F415" s="22" t="s">
        <v>8</v>
      </c>
      <c r="G415" s="332">
        <v>9</v>
      </c>
      <c r="H415" s="333" t="s">
        <v>517</v>
      </c>
      <c r="I415" s="334">
        <v>1.07</v>
      </c>
      <c r="J415" s="20"/>
      <c r="K415" s="331">
        <f>+E415*G415*I415</f>
        <v>73.525050000000007</v>
      </c>
      <c r="L415" s="22" t="s">
        <v>3</v>
      </c>
      <c r="M415" s="1146"/>
      <c r="N415" s="991"/>
      <c r="P415" s="34"/>
      <c r="Q415" s="34"/>
      <c r="R415" s="34"/>
      <c r="S415" s="44"/>
      <c r="T415" s="44"/>
      <c r="U415" s="34"/>
    </row>
    <row r="416" spans="1:21" s="38" customFormat="1" ht="30" customHeight="1">
      <c r="A416" s="45" t="s">
        <v>480</v>
      </c>
      <c r="B416" s="1179" t="s">
        <v>2503</v>
      </c>
      <c r="C416" s="1180"/>
      <c r="D416" s="1181"/>
      <c r="E416" s="335">
        <f>(0.69+0.82)/2</f>
        <v>0.75499999999999989</v>
      </c>
      <c r="F416" s="22" t="s">
        <v>8</v>
      </c>
      <c r="G416" s="332">
        <v>9</v>
      </c>
      <c r="H416" s="333" t="s">
        <v>517</v>
      </c>
      <c r="I416" s="334">
        <v>1.07</v>
      </c>
      <c r="J416" s="20"/>
      <c r="K416" s="331">
        <f>+E416*G416*I416</f>
        <v>7.2706499999999998</v>
      </c>
      <c r="L416" s="22" t="s">
        <v>3</v>
      </c>
      <c r="M416" s="1146"/>
      <c r="N416" s="193"/>
      <c r="O416" s="1119"/>
      <c r="P416" s="39"/>
      <c r="Q416" s="39"/>
      <c r="R416" s="39"/>
      <c r="S416" s="84"/>
      <c r="T416" s="84"/>
      <c r="U416" s="39"/>
    </row>
    <row r="417" spans="1:21" s="32" customFormat="1" ht="30" customHeight="1">
      <c r="A417" s="45" t="s">
        <v>525</v>
      </c>
      <c r="B417" s="1176" t="s">
        <v>2504</v>
      </c>
      <c r="C417" s="1177"/>
      <c r="D417" s="1178"/>
      <c r="E417" s="153">
        <f>(49.75*8)+(14000)/8</f>
        <v>2148</v>
      </c>
      <c r="F417" s="20" t="s">
        <v>10</v>
      </c>
      <c r="G417" s="948">
        <f>8/600</f>
        <v>1.3333333333333334E-2</v>
      </c>
      <c r="H417" s="252" t="s">
        <v>1486</v>
      </c>
      <c r="I417" s="326">
        <v>1.07</v>
      </c>
      <c r="J417" s="20"/>
      <c r="K417" s="331">
        <f>+E417*G417*I417</f>
        <v>30.644800000000004</v>
      </c>
      <c r="L417" s="22" t="s">
        <v>3</v>
      </c>
      <c r="M417" s="1146"/>
      <c r="N417" s="950"/>
      <c r="O417" s="33"/>
    </row>
    <row r="418" spans="1:21" ht="30" customHeight="1">
      <c r="A418" s="46"/>
      <c r="B418" s="1267"/>
      <c r="C418" s="1267"/>
      <c r="D418" s="1267"/>
      <c r="E418" s="153"/>
      <c r="F418" s="20"/>
      <c r="G418" s="20"/>
      <c r="H418" s="20"/>
      <c r="I418" s="20"/>
      <c r="J418" s="20" t="s">
        <v>379</v>
      </c>
      <c r="K418" s="212">
        <f>SUM(K415:K417)</f>
        <v>111.44050000000001</v>
      </c>
      <c r="L418" s="22" t="s">
        <v>3</v>
      </c>
      <c r="M418" s="1146"/>
      <c r="N418" s="193"/>
    </row>
    <row r="419" spans="1:21" ht="30" customHeight="1">
      <c r="A419" s="45"/>
      <c r="B419" s="157"/>
      <c r="C419" s="157"/>
      <c r="D419" s="157"/>
      <c r="E419" s="153"/>
      <c r="F419" s="1174" t="s">
        <v>308</v>
      </c>
      <c r="G419" s="1208" t="s">
        <v>309</v>
      </c>
      <c r="H419" s="1208"/>
      <c r="I419" s="1208"/>
      <c r="J419" s="1208"/>
      <c r="K419" s="123">
        <v>1.06</v>
      </c>
      <c r="L419" s="10"/>
      <c r="M419" s="1146"/>
    </row>
    <row r="420" spans="1:21" ht="30" customHeight="1">
      <c r="A420" s="45"/>
      <c r="B420" s="157"/>
      <c r="C420" s="157"/>
      <c r="D420" s="157"/>
      <c r="E420" s="153"/>
      <c r="F420" s="1175"/>
      <c r="G420" s="1209" t="s">
        <v>310</v>
      </c>
      <c r="H420" s="1209"/>
      <c r="I420" s="1209"/>
      <c r="J420" s="1209"/>
      <c r="K420" s="123">
        <v>1.07</v>
      </c>
      <c r="L420" s="10"/>
      <c r="M420" s="1146"/>
      <c r="P420" s="34"/>
      <c r="Q420" s="34"/>
      <c r="R420" s="34"/>
      <c r="S420" s="44"/>
      <c r="T420" s="44"/>
      <c r="U420" s="34"/>
    </row>
    <row r="421" spans="1:21" s="38" customFormat="1" ht="30" customHeight="1">
      <c r="A421" s="46"/>
      <c r="B421" s="20"/>
      <c r="C421" s="18"/>
      <c r="D421" s="18"/>
      <c r="E421" s="18"/>
      <c r="F421" s="18"/>
      <c r="G421" s="18"/>
      <c r="H421" s="18"/>
      <c r="I421" s="18"/>
      <c r="J421" s="18" t="s">
        <v>289</v>
      </c>
      <c r="K421" s="103">
        <f>+K418*K419/K420</f>
        <v>110.39900000000002</v>
      </c>
      <c r="L421" s="22" t="s">
        <v>3</v>
      </c>
      <c r="M421" s="1146"/>
      <c r="N421" s="193"/>
      <c r="O421" s="1119"/>
      <c r="P421" s="39"/>
      <c r="Q421" s="39"/>
      <c r="R421" s="39"/>
      <c r="S421" s="84"/>
      <c r="T421" s="84"/>
      <c r="U421" s="39"/>
    </row>
    <row r="422" spans="1:21" s="32" customFormat="1" ht="30" customHeight="1" thickBot="1">
      <c r="A422" s="46"/>
      <c r="B422" s="20"/>
      <c r="C422" s="18"/>
      <c r="D422" s="18"/>
      <c r="E422" s="18"/>
      <c r="F422" s="18"/>
      <c r="G422" s="160" t="s">
        <v>312</v>
      </c>
      <c r="H422" s="18"/>
      <c r="I422" s="18"/>
      <c r="J422" s="139">
        <f>+'Mil Cost Premiums for RUCs'!$R$23</f>
        <v>1.0209999999999999</v>
      </c>
      <c r="K422" s="103">
        <f>+K421*J422</f>
        <v>112.71737900000001</v>
      </c>
      <c r="L422" s="22" t="s">
        <v>3</v>
      </c>
      <c r="M422" s="1146"/>
      <c r="N422" s="125"/>
      <c r="O422" s="33"/>
    </row>
    <row r="423" spans="1:21" ht="30" customHeight="1" thickBot="1">
      <c r="A423" s="1165"/>
      <c r="B423" s="1166"/>
      <c r="C423" s="1166"/>
      <c r="D423" s="1166"/>
      <c r="E423" s="1166"/>
      <c r="F423" s="1166"/>
      <c r="G423" s="1166"/>
      <c r="H423" s="1166"/>
      <c r="I423" s="1166"/>
      <c r="J423" s="1166"/>
      <c r="K423" s="1166"/>
      <c r="L423" s="1167"/>
      <c r="M423" s="1146"/>
    </row>
    <row r="424" spans="1:21" ht="30" customHeight="1">
      <c r="A424" s="27" t="s">
        <v>280</v>
      </c>
      <c r="B424" s="82">
        <v>1641</v>
      </c>
      <c r="C424" s="1197" t="s">
        <v>540</v>
      </c>
      <c r="D424" s="1198"/>
      <c r="E424" s="74" t="s">
        <v>282</v>
      </c>
      <c r="F424" s="75" t="s">
        <v>6</v>
      </c>
      <c r="G424" s="58" t="s">
        <v>290</v>
      </c>
      <c r="H424" s="215">
        <v>1711</v>
      </c>
      <c r="I424" s="74" t="s">
        <v>283</v>
      </c>
      <c r="J424" s="1310" t="s">
        <v>2527</v>
      </c>
      <c r="K424" s="1310"/>
      <c r="L424" s="1311"/>
      <c r="M424" s="1146"/>
    </row>
    <row r="425" spans="1:21" ht="30" customHeight="1">
      <c r="A425" s="37" t="s">
        <v>304</v>
      </c>
      <c r="B425" s="1201" t="s">
        <v>330</v>
      </c>
      <c r="C425" s="1202"/>
      <c r="D425" s="1203"/>
      <c r="E425" s="150" t="s">
        <v>295</v>
      </c>
      <c r="F425" s="150" t="s">
        <v>331</v>
      </c>
      <c r="G425" s="1204" t="s">
        <v>332</v>
      </c>
      <c r="H425" s="1205"/>
      <c r="I425" s="151" t="s">
        <v>305</v>
      </c>
      <c r="J425" s="151"/>
      <c r="K425" s="1206" t="s">
        <v>297</v>
      </c>
      <c r="L425" s="1207"/>
      <c r="M425" s="1146"/>
      <c r="N425" s="85"/>
      <c r="P425" s="34"/>
      <c r="Q425" s="34"/>
      <c r="R425" s="34"/>
      <c r="S425" s="44"/>
      <c r="T425" s="44"/>
      <c r="U425" s="34"/>
    </row>
    <row r="426" spans="1:21" s="38" customFormat="1" ht="30" customHeight="1">
      <c r="A426" s="45" t="s">
        <v>525</v>
      </c>
      <c r="B426" s="1176" t="s">
        <v>541</v>
      </c>
      <c r="C426" s="1177"/>
      <c r="D426" s="1178"/>
      <c r="E426" s="153">
        <f>+(530+870)/2</f>
        <v>700</v>
      </c>
      <c r="F426" s="20" t="s">
        <v>6</v>
      </c>
      <c r="G426" s="324">
        <v>0.5</v>
      </c>
      <c r="H426" s="325" t="s">
        <v>542</v>
      </c>
      <c r="I426" s="20">
        <v>1.0900000000000001</v>
      </c>
      <c r="J426" s="326"/>
      <c r="K426" s="153">
        <f>+E426*I426*G426</f>
        <v>381.5</v>
      </c>
      <c r="L426" s="20" t="s">
        <v>6</v>
      </c>
      <c r="M426" s="1146"/>
      <c r="N426" s="193"/>
      <c r="O426" s="1119"/>
      <c r="P426" s="39"/>
      <c r="Q426" s="39"/>
      <c r="R426" s="39"/>
      <c r="S426" s="84"/>
      <c r="T426" s="84"/>
      <c r="U426" s="39"/>
    </row>
    <row r="427" spans="1:21" s="32" customFormat="1" ht="30" customHeight="1">
      <c r="A427" s="45" t="s">
        <v>482</v>
      </c>
      <c r="B427" s="1176" t="s">
        <v>543</v>
      </c>
      <c r="C427" s="1177"/>
      <c r="D427" s="1178"/>
      <c r="E427" s="153">
        <f>+(79+112)/2</f>
        <v>95.5</v>
      </c>
      <c r="F427" s="20" t="s">
        <v>3</v>
      </c>
      <c r="G427" s="20">
        <v>1.78</v>
      </c>
      <c r="H427" s="20" t="s">
        <v>544</v>
      </c>
      <c r="I427" s="20">
        <v>1.07</v>
      </c>
      <c r="J427" s="326"/>
      <c r="K427" s="153">
        <f>+E427*G427*I427</f>
        <v>181.88930000000002</v>
      </c>
      <c r="L427" s="20" t="s">
        <v>6</v>
      </c>
      <c r="M427" s="1146"/>
      <c r="N427" s="125"/>
      <c r="O427" s="33"/>
    </row>
    <row r="428" spans="1:21" ht="30" customHeight="1">
      <c r="A428" s="45"/>
      <c r="B428" s="20"/>
      <c r="C428" s="18"/>
      <c r="D428" s="18"/>
      <c r="E428" s="18"/>
      <c r="F428" s="18"/>
      <c r="G428" s="18"/>
      <c r="H428" s="18"/>
      <c r="I428" s="18"/>
      <c r="J428" s="20" t="s">
        <v>545</v>
      </c>
      <c r="K428" s="23">
        <f>AVERAGE(K426:K427)</f>
        <v>281.69465000000002</v>
      </c>
      <c r="L428" s="20" t="s">
        <v>6</v>
      </c>
      <c r="M428" s="1146"/>
    </row>
    <row r="429" spans="1:21" ht="30" customHeight="1">
      <c r="A429" s="45"/>
      <c r="B429" s="157"/>
      <c r="C429" s="157"/>
      <c r="D429" s="157"/>
      <c r="E429" s="153"/>
      <c r="F429" s="1174" t="s">
        <v>308</v>
      </c>
      <c r="G429" s="1208" t="s">
        <v>309</v>
      </c>
      <c r="H429" s="1208"/>
      <c r="I429" s="1208"/>
      <c r="J429" s="1208"/>
      <c r="K429" s="123">
        <v>1.06</v>
      </c>
      <c r="L429" s="10"/>
      <c r="M429" s="1146"/>
    </row>
    <row r="430" spans="1:21" ht="30" customHeight="1">
      <c r="A430" s="45"/>
      <c r="B430" s="157"/>
      <c r="C430" s="157"/>
      <c r="D430" s="157"/>
      <c r="E430" s="153"/>
      <c r="F430" s="1175"/>
      <c r="G430" s="1209" t="s">
        <v>310</v>
      </c>
      <c r="H430" s="1209"/>
      <c r="I430" s="1209"/>
      <c r="J430" s="1209"/>
      <c r="K430" s="123">
        <v>1.07</v>
      </c>
      <c r="L430" s="10"/>
      <c r="M430" s="1146"/>
      <c r="P430" s="34"/>
      <c r="Q430" s="34"/>
      <c r="R430" s="34"/>
      <c r="S430" s="44"/>
      <c r="T430" s="44"/>
      <c r="U430" s="34"/>
    </row>
    <row r="431" spans="1:21" s="38" customFormat="1" ht="30" customHeight="1" thickBot="1">
      <c r="A431" s="45"/>
      <c r="B431" s="20"/>
      <c r="C431" s="18"/>
      <c r="D431" s="18"/>
      <c r="E431" s="18"/>
      <c r="F431" s="18"/>
      <c r="G431" s="160" t="s">
        <v>312</v>
      </c>
      <c r="H431" s="18"/>
      <c r="I431" s="18"/>
      <c r="J431" s="139">
        <f>VLOOKUP(B424,'Mil Cost Premiums for RUCs'!$A$4:$R$266,18,FALSE)</f>
        <v>1.0209999999999999</v>
      </c>
      <c r="K431" s="23">
        <f>+K428*K429/K430</f>
        <v>279.06198971962618</v>
      </c>
      <c r="L431" s="20" t="s">
        <v>6</v>
      </c>
      <c r="M431" s="1146"/>
      <c r="N431" s="193"/>
      <c r="O431" s="1119"/>
      <c r="P431" s="39"/>
      <c r="Q431" s="39"/>
      <c r="R431" s="39"/>
      <c r="S431" s="84"/>
      <c r="T431" s="84"/>
      <c r="U431" s="39"/>
    </row>
    <row r="432" spans="1:21" s="32" customFormat="1" ht="30" customHeight="1" thickBot="1">
      <c r="A432" s="1165"/>
      <c r="B432" s="1166"/>
      <c r="C432" s="1166"/>
      <c r="D432" s="1166"/>
      <c r="E432" s="1166"/>
      <c r="F432" s="1166"/>
      <c r="G432" s="1166"/>
      <c r="H432" s="1166"/>
      <c r="I432" s="1166"/>
      <c r="J432" s="1166"/>
      <c r="K432" s="1166"/>
      <c r="L432" s="1167"/>
      <c r="M432" s="1146"/>
      <c r="N432" s="612"/>
      <c r="O432" s="33"/>
    </row>
    <row r="433" spans="1:18" s="32" customFormat="1" ht="30" customHeight="1">
      <c r="A433" s="81" t="s">
        <v>280</v>
      </c>
      <c r="B433" s="82">
        <v>1711</v>
      </c>
      <c r="C433" s="1228" t="s">
        <v>546</v>
      </c>
      <c r="D433" s="1229"/>
      <c r="E433" s="74" t="s">
        <v>282</v>
      </c>
      <c r="F433" s="75" t="s">
        <v>8</v>
      </c>
      <c r="G433" s="58" t="s">
        <v>290</v>
      </c>
      <c r="H433" s="336">
        <v>14047</v>
      </c>
      <c r="I433" s="74" t="s">
        <v>283</v>
      </c>
      <c r="J433" s="1199" t="s">
        <v>2547</v>
      </c>
      <c r="K433" s="1230"/>
      <c r="L433" s="1231"/>
      <c r="M433" s="1146"/>
      <c r="N433" s="125"/>
      <c r="O433" s="33"/>
    </row>
    <row r="434" spans="1:18" s="32" customFormat="1" ht="30" customHeight="1">
      <c r="A434" s="77" t="s">
        <v>293</v>
      </c>
      <c r="B434" s="1232" t="s">
        <v>284</v>
      </c>
      <c r="C434" s="1232"/>
      <c r="D434" s="1232"/>
      <c r="E434" s="78" t="s">
        <v>294</v>
      </c>
      <c r="F434" s="96" t="s">
        <v>295</v>
      </c>
      <c r="G434" s="77"/>
      <c r="H434" s="77"/>
      <c r="I434" s="1233" t="s">
        <v>426</v>
      </c>
      <c r="J434" s="1234"/>
      <c r="K434" s="1206" t="s">
        <v>297</v>
      </c>
      <c r="L434" s="1207"/>
      <c r="M434" s="1146"/>
      <c r="N434" s="990"/>
      <c r="O434" s="33"/>
    </row>
    <row r="435" spans="1:18" ht="30" customHeight="1">
      <c r="A435" s="97" t="s">
        <v>298</v>
      </c>
      <c r="B435" s="1222" t="s">
        <v>547</v>
      </c>
      <c r="C435" s="1222"/>
      <c r="D435" s="1222"/>
      <c r="E435" s="98">
        <v>30000</v>
      </c>
      <c r="F435" s="99">
        <v>353</v>
      </c>
      <c r="G435" s="100"/>
      <c r="H435" s="101"/>
      <c r="I435" s="1192" t="s">
        <v>2562</v>
      </c>
      <c r="J435" s="1193"/>
      <c r="K435" s="99">
        <f>+F435</f>
        <v>353</v>
      </c>
      <c r="L435" s="97" t="s">
        <v>8</v>
      </c>
      <c r="M435" s="1146"/>
    </row>
    <row r="436" spans="1:18" ht="30" customHeight="1" thickBot="1">
      <c r="A436" s="20"/>
      <c r="B436" s="1224"/>
      <c r="C436" s="1224"/>
      <c r="D436" s="1224"/>
      <c r="E436" s="1225"/>
      <c r="F436" s="1226"/>
      <c r="G436" s="1226"/>
      <c r="H436" s="1227"/>
      <c r="I436" s="18"/>
      <c r="J436" s="79" t="s">
        <v>289</v>
      </c>
      <c r="K436" s="103">
        <f>+K435</f>
        <v>353</v>
      </c>
      <c r="L436" s="20" t="s">
        <v>8</v>
      </c>
      <c r="M436" s="1146"/>
    </row>
    <row r="437" spans="1:18" ht="30" customHeight="1" thickBot="1">
      <c r="A437" s="1165"/>
      <c r="B437" s="1166"/>
      <c r="C437" s="1166"/>
      <c r="D437" s="1166"/>
      <c r="E437" s="1166"/>
      <c r="F437" s="1166"/>
      <c r="G437" s="1166"/>
      <c r="H437" s="1166"/>
      <c r="I437" s="1166"/>
      <c r="J437" s="1166"/>
      <c r="K437" s="1166"/>
      <c r="L437" s="1167"/>
      <c r="M437" s="1146"/>
      <c r="N437" s="1103"/>
      <c r="O437"/>
      <c r="P437" s="159"/>
      <c r="Q437" s="147"/>
      <c r="R437" s="149"/>
    </row>
    <row r="438" spans="1:18" s="38" customFormat="1" ht="30" customHeight="1">
      <c r="A438" s="81" t="s">
        <v>280</v>
      </c>
      <c r="B438" s="82">
        <v>1712</v>
      </c>
      <c r="C438" s="1228" t="s">
        <v>548</v>
      </c>
      <c r="D438" s="1229"/>
      <c r="E438" s="74" t="s">
        <v>282</v>
      </c>
      <c r="F438" s="75" t="s">
        <v>8</v>
      </c>
      <c r="G438" s="58" t="s">
        <v>290</v>
      </c>
      <c r="H438" s="336">
        <v>17685</v>
      </c>
      <c r="I438" s="74" t="s">
        <v>283</v>
      </c>
      <c r="J438" s="1310" t="s">
        <v>2547</v>
      </c>
      <c r="K438" s="1310"/>
      <c r="L438" s="1311"/>
      <c r="M438" s="1146"/>
      <c r="N438" s="1103"/>
      <c r="P438" s="159"/>
      <c r="Q438" s="147"/>
      <c r="R438" s="149"/>
    </row>
    <row r="439" spans="1:18" ht="30" customHeight="1">
      <c r="A439" s="77" t="s">
        <v>293</v>
      </c>
      <c r="B439" s="1232" t="s">
        <v>284</v>
      </c>
      <c r="C439" s="1232"/>
      <c r="D439" s="1232"/>
      <c r="E439" s="78" t="s">
        <v>294</v>
      </c>
      <c r="F439" s="96" t="s">
        <v>295</v>
      </c>
      <c r="G439" s="77"/>
      <c r="H439" s="77"/>
      <c r="I439" s="1233" t="s">
        <v>426</v>
      </c>
      <c r="J439" s="1234"/>
      <c r="K439" s="1206" t="s">
        <v>297</v>
      </c>
      <c r="L439" s="1207"/>
      <c r="M439" s="1146"/>
      <c r="N439" s="615"/>
      <c r="O439"/>
      <c r="P439" s="159"/>
      <c r="Q439" s="147"/>
      <c r="R439" s="149"/>
    </row>
    <row r="440" spans="1:18" ht="30" customHeight="1">
      <c r="A440" s="97" t="s">
        <v>298</v>
      </c>
      <c r="B440" s="1222" t="s">
        <v>547</v>
      </c>
      <c r="C440" s="1222"/>
      <c r="D440" s="1222"/>
      <c r="E440" s="98">
        <v>30000</v>
      </c>
      <c r="F440" s="99">
        <v>353</v>
      </c>
      <c r="G440" s="100"/>
      <c r="H440" s="101"/>
      <c r="I440" s="1192" t="s">
        <v>2562</v>
      </c>
      <c r="J440" s="1193"/>
      <c r="K440" s="99">
        <f>+F440</f>
        <v>353</v>
      </c>
      <c r="L440" s="97" t="s">
        <v>8</v>
      </c>
      <c r="M440" s="1146"/>
      <c r="N440" s="615"/>
      <c r="O440"/>
      <c r="P440" s="159"/>
      <c r="Q440" s="147"/>
      <c r="R440" s="149"/>
    </row>
    <row r="441" spans="1:18" ht="30" customHeight="1" thickBot="1">
      <c r="A441" s="20"/>
      <c r="B441" s="1224"/>
      <c r="C441" s="1224"/>
      <c r="D441" s="1224"/>
      <c r="E441" s="1225"/>
      <c r="F441" s="1226"/>
      <c r="G441" s="1226"/>
      <c r="H441" s="1227"/>
      <c r="I441" s="18"/>
      <c r="J441" s="79" t="s">
        <v>289</v>
      </c>
      <c r="K441" s="103">
        <f>+K440</f>
        <v>353</v>
      </c>
      <c r="L441" s="20" t="s">
        <v>8</v>
      </c>
      <c r="M441" s="1146"/>
      <c r="N441" s="1103"/>
      <c r="O441"/>
      <c r="P441" s="159"/>
      <c r="Q441" s="147"/>
      <c r="R441" s="149"/>
    </row>
    <row r="442" spans="1:18" ht="30" customHeight="1" thickBot="1">
      <c r="A442" s="1165"/>
      <c r="B442" s="1166"/>
      <c r="C442" s="1166"/>
      <c r="D442" s="1166"/>
      <c r="E442" s="1166"/>
      <c r="F442" s="1166"/>
      <c r="G442" s="1166"/>
      <c r="H442" s="1166"/>
      <c r="I442" s="1166"/>
      <c r="J442" s="1166"/>
      <c r="K442" s="1166"/>
      <c r="L442" s="1167"/>
      <c r="M442" s="1146"/>
      <c r="N442" s="1103"/>
      <c r="O442"/>
      <c r="P442" s="159"/>
      <c r="Q442" s="147"/>
      <c r="R442" s="149"/>
    </row>
    <row r="443" spans="1:18" ht="30" customHeight="1">
      <c r="A443" s="81" t="s">
        <v>280</v>
      </c>
      <c r="B443" s="82">
        <v>1713</v>
      </c>
      <c r="C443" s="1228" t="s">
        <v>549</v>
      </c>
      <c r="D443" s="1229"/>
      <c r="E443" s="74" t="s">
        <v>282</v>
      </c>
      <c r="F443" s="75" t="s">
        <v>8</v>
      </c>
      <c r="G443" s="58" t="s">
        <v>290</v>
      </c>
      <c r="H443" s="337">
        <v>10675</v>
      </c>
      <c r="I443" s="74" t="s">
        <v>283</v>
      </c>
      <c r="J443" s="1199" t="s">
        <v>2605</v>
      </c>
      <c r="K443" s="1230"/>
      <c r="L443" s="1231"/>
      <c r="M443" s="1146"/>
      <c r="N443" s="1103"/>
      <c r="O443"/>
      <c r="P443" s="159"/>
      <c r="Q443" s="147"/>
      <c r="R443" s="149"/>
    </row>
    <row r="444" spans="1:18" ht="30" customHeight="1">
      <c r="A444" s="77" t="s">
        <v>293</v>
      </c>
      <c r="B444" s="1232" t="s">
        <v>284</v>
      </c>
      <c r="C444" s="1232"/>
      <c r="D444" s="1232"/>
      <c r="E444" s="96" t="s">
        <v>295</v>
      </c>
      <c r="F444" s="77" t="s">
        <v>294</v>
      </c>
      <c r="G444" s="1365" t="s">
        <v>332</v>
      </c>
      <c r="H444" s="1366"/>
      <c r="I444" s="1233" t="s">
        <v>426</v>
      </c>
      <c r="J444" s="1234"/>
      <c r="K444" s="1206" t="s">
        <v>297</v>
      </c>
      <c r="L444" s="1207"/>
      <c r="M444" s="1146"/>
      <c r="N444" s="1103"/>
      <c r="O444"/>
      <c r="P444" s="159"/>
      <c r="Q444" s="147"/>
      <c r="R444" s="149"/>
    </row>
    <row r="445" spans="1:18" ht="30" customHeight="1">
      <c r="A445" s="20">
        <v>14129</v>
      </c>
      <c r="B445" s="1179" t="s">
        <v>551</v>
      </c>
      <c r="C445" s="1180"/>
      <c r="D445" s="1181"/>
      <c r="E445" s="153">
        <v>252</v>
      </c>
      <c r="F445" s="316">
        <v>120000</v>
      </c>
      <c r="G445" s="100"/>
      <c r="H445" s="100"/>
      <c r="I445" s="1192">
        <f>+'2019 MILCON Inflation Table'!F18</f>
        <v>0.94232233454704462</v>
      </c>
      <c r="J445" s="1193"/>
      <c r="K445" s="106">
        <f>+E445*I445</f>
        <v>237.46522830585525</v>
      </c>
      <c r="L445" s="97" t="s">
        <v>8</v>
      </c>
      <c r="M445" s="1146"/>
      <c r="N445" s="1103"/>
      <c r="O445"/>
      <c r="P445" s="159"/>
      <c r="Q445" s="147"/>
      <c r="R445" s="149"/>
    </row>
    <row r="446" spans="1:18" ht="30" customHeight="1" thickBot="1">
      <c r="A446" s="20"/>
      <c r="B446" s="91"/>
      <c r="C446" s="181"/>
      <c r="D446" s="181"/>
      <c r="E446" s="181"/>
      <c r="F446" s="338"/>
      <c r="G446" s="181"/>
      <c r="H446" s="339"/>
      <c r="I446" s="18"/>
      <c r="J446" s="79" t="s">
        <v>289</v>
      </c>
      <c r="K446" s="107">
        <f>+K445</f>
        <v>237.46522830585525</v>
      </c>
      <c r="L446" s="20" t="s">
        <v>8</v>
      </c>
      <c r="M446" s="1146"/>
      <c r="N446" s="1103"/>
      <c r="O446"/>
      <c r="P446" s="159"/>
      <c r="Q446" s="147"/>
      <c r="R446" s="149"/>
    </row>
    <row r="447" spans="1:18" ht="30" customHeight="1" thickBot="1">
      <c r="A447" s="1165"/>
      <c r="B447" s="1166"/>
      <c r="C447" s="1166"/>
      <c r="D447" s="1166"/>
      <c r="E447" s="1166"/>
      <c r="F447" s="1166"/>
      <c r="G447" s="1166"/>
      <c r="H447" s="1166"/>
      <c r="I447" s="1166"/>
      <c r="J447" s="1166"/>
      <c r="K447" s="1166"/>
      <c r="L447" s="1167"/>
      <c r="M447" s="1146"/>
      <c r="N447" s="989"/>
      <c r="O447"/>
      <c r="P447" s="159"/>
      <c r="Q447" s="147"/>
      <c r="R447" s="149"/>
    </row>
    <row r="448" spans="1:18" s="38" customFormat="1" ht="30" customHeight="1">
      <c r="A448" s="81" t="s">
        <v>280</v>
      </c>
      <c r="B448" s="82">
        <v>1714</v>
      </c>
      <c r="C448" s="1228" t="s">
        <v>552</v>
      </c>
      <c r="D448" s="1229"/>
      <c r="E448" s="74" t="s">
        <v>282</v>
      </c>
      <c r="F448" s="75" t="s">
        <v>8</v>
      </c>
      <c r="G448" s="58" t="s">
        <v>290</v>
      </c>
      <c r="H448" s="336">
        <v>22476</v>
      </c>
      <c r="I448" s="74" t="s">
        <v>283</v>
      </c>
      <c r="J448" s="1199" t="s">
        <v>2547</v>
      </c>
      <c r="K448" s="1230"/>
      <c r="L448" s="1231"/>
      <c r="M448" s="1146"/>
      <c r="N448" s="1103"/>
      <c r="P448" s="159"/>
      <c r="Q448" s="147"/>
      <c r="R448" s="149"/>
    </row>
    <row r="449" spans="1:18" ht="30" customHeight="1">
      <c r="A449" s="77" t="s">
        <v>293</v>
      </c>
      <c r="B449" s="1232" t="s">
        <v>284</v>
      </c>
      <c r="C449" s="1232"/>
      <c r="D449" s="1232"/>
      <c r="E449" s="78" t="s">
        <v>294</v>
      </c>
      <c r="F449" s="96" t="s">
        <v>295</v>
      </c>
      <c r="G449" s="77"/>
      <c r="H449" s="77"/>
      <c r="I449" s="1233" t="s">
        <v>426</v>
      </c>
      <c r="J449" s="1234"/>
      <c r="K449" s="1206" t="s">
        <v>297</v>
      </c>
      <c r="L449" s="1207"/>
      <c r="M449" s="1146"/>
      <c r="N449" s="615"/>
      <c r="O449"/>
      <c r="P449" s="159"/>
      <c r="Q449" s="147"/>
      <c r="R449" s="149"/>
    </row>
    <row r="450" spans="1:18" ht="30" customHeight="1">
      <c r="A450" s="97" t="s">
        <v>298</v>
      </c>
      <c r="B450" s="1222" t="s">
        <v>553</v>
      </c>
      <c r="C450" s="1222"/>
      <c r="D450" s="1222"/>
      <c r="E450" s="98">
        <v>53000</v>
      </c>
      <c r="F450" s="99">
        <v>287</v>
      </c>
      <c r="G450" s="100"/>
      <c r="H450" s="101"/>
      <c r="I450" s="1192" t="s">
        <v>2562</v>
      </c>
      <c r="J450" s="1193"/>
      <c r="K450" s="99">
        <f>+F450</f>
        <v>287</v>
      </c>
      <c r="L450" s="97" t="s">
        <v>8</v>
      </c>
      <c r="M450" s="1146"/>
      <c r="N450" s="615"/>
      <c r="O450"/>
      <c r="P450" s="159"/>
      <c r="Q450" s="147"/>
      <c r="R450" s="149"/>
    </row>
    <row r="451" spans="1:18" ht="30" customHeight="1" thickBot="1">
      <c r="A451" s="20"/>
      <c r="B451" s="1224"/>
      <c r="C451" s="1224"/>
      <c r="D451" s="1224"/>
      <c r="E451" s="1225"/>
      <c r="F451" s="1226"/>
      <c r="G451" s="1226"/>
      <c r="H451" s="1227"/>
      <c r="I451" s="18"/>
      <c r="J451" s="79" t="s">
        <v>289</v>
      </c>
      <c r="K451" s="103">
        <f>+K450</f>
        <v>287</v>
      </c>
      <c r="L451" s="20" t="s">
        <v>8</v>
      </c>
      <c r="M451" s="1146"/>
      <c r="N451" s="615"/>
      <c r="O451"/>
      <c r="P451" s="159"/>
      <c r="Q451" s="147"/>
      <c r="R451" s="149"/>
    </row>
    <row r="452" spans="1:18" ht="30" customHeight="1" thickBot="1">
      <c r="A452" s="1165"/>
      <c r="B452" s="1166"/>
      <c r="C452" s="1166"/>
      <c r="D452" s="1166"/>
      <c r="E452" s="1166"/>
      <c r="F452" s="1166"/>
      <c r="G452" s="1166"/>
      <c r="H452" s="1166"/>
      <c r="I452" s="1166"/>
      <c r="J452" s="1166"/>
      <c r="K452" s="1166"/>
      <c r="L452" s="1167"/>
      <c r="M452" s="1146"/>
      <c r="N452" s="615"/>
      <c r="O452"/>
      <c r="P452" s="159"/>
      <c r="Q452" s="147"/>
      <c r="R452" s="149"/>
    </row>
    <row r="453" spans="1:18" ht="30" customHeight="1">
      <c r="A453" s="81" t="s">
        <v>280</v>
      </c>
      <c r="B453" s="340">
        <v>1715</v>
      </c>
      <c r="C453" s="1228" t="s">
        <v>554</v>
      </c>
      <c r="D453" s="1229"/>
      <c r="E453" s="74" t="s">
        <v>282</v>
      </c>
      <c r="F453" s="75" t="s">
        <v>8</v>
      </c>
      <c r="G453" s="58" t="s">
        <v>290</v>
      </c>
      <c r="H453" s="76">
        <v>62022</v>
      </c>
      <c r="I453" s="74" t="s">
        <v>283</v>
      </c>
      <c r="J453" s="1199" t="s">
        <v>437</v>
      </c>
      <c r="K453" s="1230"/>
      <c r="L453" s="1231"/>
      <c r="M453" s="1146"/>
      <c r="N453" s="1118"/>
      <c r="O453"/>
      <c r="P453" s="159"/>
      <c r="Q453" s="147"/>
      <c r="R453" s="149"/>
    </row>
    <row r="454" spans="1:18" ht="30" customHeight="1">
      <c r="A454" s="77" t="s">
        <v>293</v>
      </c>
      <c r="B454" s="1232" t="s">
        <v>284</v>
      </c>
      <c r="C454" s="1232"/>
      <c r="D454" s="1232"/>
      <c r="E454" s="96" t="s">
        <v>295</v>
      </c>
      <c r="F454" s="77" t="s">
        <v>294</v>
      </c>
      <c r="G454" s="1365" t="s">
        <v>332</v>
      </c>
      <c r="H454" s="1366"/>
      <c r="I454" s="1233" t="s">
        <v>426</v>
      </c>
      <c r="J454" s="1234"/>
      <c r="K454" s="1303" t="s">
        <v>297</v>
      </c>
      <c r="L454" s="1304"/>
      <c r="M454" s="1146"/>
      <c r="N454" s="965"/>
      <c r="O454"/>
      <c r="P454" s="159"/>
      <c r="Q454" s="147"/>
      <c r="R454" s="149"/>
    </row>
    <row r="455" spans="1:18" ht="30" customHeight="1">
      <c r="A455" s="97">
        <v>74028</v>
      </c>
      <c r="B455" s="1222" t="s">
        <v>555</v>
      </c>
      <c r="C455" s="1222"/>
      <c r="D455" s="1222"/>
      <c r="E455" s="341">
        <v>250</v>
      </c>
      <c r="F455" s="342">
        <v>62000</v>
      </c>
      <c r="G455" s="286"/>
      <c r="H455" s="286"/>
      <c r="I455" s="1192">
        <f>+'2019 MILCON Inflation Table'!F16</f>
        <v>0.98039215686274506</v>
      </c>
      <c r="J455" s="1193"/>
      <c r="K455" s="343">
        <f>+E455*I455</f>
        <v>245.09803921568627</v>
      </c>
      <c r="L455" s="65" t="s">
        <v>8</v>
      </c>
      <c r="M455" s="1146"/>
      <c r="N455" s="1103"/>
      <c r="O455"/>
      <c r="P455" s="159"/>
      <c r="Q455" s="147"/>
      <c r="R455" s="149"/>
    </row>
    <row r="456" spans="1:18" ht="30" customHeight="1" thickBot="1">
      <c r="A456" s="20"/>
      <c r="B456" s="1224"/>
      <c r="C456" s="1224"/>
      <c r="D456" s="1224"/>
      <c r="E456" s="1225"/>
      <c r="F456" s="1226"/>
      <c r="G456" s="1226"/>
      <c r="H456" s="1227"/>
      <c r="I456" s="18"/>
      <c r="J456" s="79" t="s">
        <v>289</v>
      </c>
      <c r="K456" s="107">
        <f>+K455</f>
        <v>245.09803921568627</v>
      </c>
      <c r="L456" s="20" t="s">
        <v>8</v>
      </c>
      <c r="M456" s="1146"/>
      <c r="N456" s="1103"/>
      <c r="O456"/>
      <c r="P456" s="159"/>
      <c r="Q456" s="147"/>
      <c r="R456" s="149"/>
    </row>
    <row r="457" spans="1:18" ht="30" customHeight="1" thickBot="1">
      <c r="A457" s="1165"/>
      <c r="B457" s="1166"/>
      <c r="C457" s="1166"/>
      <c r="D457" s="1166"/>
      <c r="E457" s="1166"/>
      <c r="F457" s="1166"/>
      <c r="G457" s="1166"/>
      <c r="H457" s="1166"/>
      <c r="I457" s="1166"/>
      <c r="J457" s="1166"/>
      <c r="K457" s="1166"/>
      <c r="L457" s="1167"/>
      <c r="M457" s="1146"/>
      <c r="N457" s="1103"/>
      <c r="O457"/>
      <c r="P457" s="159"/>
      <c r="Q457" s="147"/>
      <c r="R457" s="149"/>
    </row>
    <row r="458" spans="1:18" ht="30" customHeight="1">
      <c r="A458" s="81" t="s">
        <v>280</v>
      </c>
      <c r="B458" s="82">
        <v>1717</v>
      </c>
      <c r="C458" s="1228" t="s">
        <v>556</v>
      </c>
      <c r="D458" s="1229"/>
      <c r="E458" s="74" t="s">
        <v>282</v>
      </c>
      <c r="F458" s="75" t="s">
        <v>8</v>
      </c>
      <c r="G458" s="58" t="s">
        <v>290</v>
      </c>
      <c r="H458" s="336">
        <v>4387</v>
      </c>
      <c r="I458" s="74" t="s">
        <v>283</v>
      </c>
      <c r="J458" s="1199" t="s">
        <v>2547</v>
      </c>
      <c r="K458" s="1230"/>
      <c r="L458" s="1231"/>
      <c r="M458" s="1146"/>
      <c r="N458" s="1103"/>
      <c r="O458"/>
      <c r="P458" s="159"/>
      <c r="Q458" s="147"/>
      <c r="R458" s="149"/>
    </row>
    <row r="459" spans="1:18" ht="30" customHeight="1">
      <c r="A459" s="77" t="s">
        <v>293</v>
      </c>
      <c r="B459" s="1232" t="s">
        <v>284</v>
      </c>
      <c r="C459" s="1232"/>
      <c r="D459" s="1232"/>
      <c r="E459" s="78" t="s">
        <v>294</v>
      </c>
      <c r="F459" s="96" t="s">
        <v>295</v>
      </c>
      <c r="G459" s="77"/>
      <c r="H459" s="77"/>
      <c r="I459" s="1233" t="s">
        <v>426</v>
      </c>
      <c r="J459" s="1234"/>
      <c r="K459" s="1206" t="s">
        <v>297</v>
      </c>
      <c r="L459" s="1207"/>
      <c r="M459" s="1146"/>
      <c r="N459" s="1103"/>
      <c r="O459"/>
      <c r="P459" s="159"/>
      <c r="Q459" s="147"/>
      <c r="R459" s="149"/>
    </row>
    <row r="460" spans="1:18" ht="30" customHeight="1">
      <c r="A460" s="97" t="s">
        <v>298</v>
      </c>
      <c r="B460" s="1222" t="s">
        <v>557</v>
      </c>
      <c r="C460" s="1222"/>
      <c r="D460" s="1222"/>
      <c r="E460" s="98">
        <v>39000</v>
      </c>
      <c r="F460" s="99">
        <v>313</v>
      </c>
      <c r="G460" s="100"/>
      <c r="H460" s="101"/>
      <c r="I460" s="1192" t="s">
        <v>2551</v>
      </c>
      <c r="J460" s="1193"/>
      <c r="K460" s="99">
        <f>+F460</f>
        <v>313</v>
      </c>
      <c r="L460" s="97" t="s">
        <v>8</v>
      </c>
      <c r="M460" s="1146"/>
      <c r="N460" s="1103"/>
      <c r="O460"/>
      <c r="P460" s="159"/>
      <c r="Q460" s="147"/>
      <c r="R460" s="149"/>
    </row>
    <row r="461" spans="1:18" ht="30" customHeight="1" thickBot="1">
      <c r="A461" s="20"/>
      <c r="B461" s="1224"/>
      <c r="C461" s="1224"/>
      <c r="D461" s="1224"/>
      <c r="E461" s="1225"/>
      <c r="F461" s="1226"/>
      <c r="G461" s="1226"/>
      <c r="H461" s="1227"/>
      <c r="I461" s="18"/>
      <c r="J461" s="79" t="s">
        <v>289</v>
      </c>
      <c r="K461" s="103">
        <f>+K460</f>
        <v>313</v>
      </c>
      <c r="L461" s="20" t="s">
        <v>8</v>
      </c>
      <c r="M461" s="1146"/>
      <c r="N461" s="1103"/>
      <c r="O461"/>
      <c r="P461" s="159"/>
      <c r="Q461" s="147"/>
      <c r="R461" s="149"/>
    </row>
    <row r="462" spans="1:18" ht="30" customHeight="1" thickBot="1">
      <c r="A462" s="1165"/>
      <c r="B462" s="1166"/>
      <c r="C462" s="1166"/>
      <c r="D462" s="1166"/>
      <c r="E462" s="1166"/>
      <c r="F462" s="1166"/>
      <c r="G462" s="1166"/>
      <c r="H462" s="1166"/>
      <c r="I462" s="1166"/>
      <c r="J462" s="1166"/>
      <c r="K462" s="1166"/>
      <c r="L462" s="1167"/>
      <c r="M462" s="1146"/>
      <c r="N462" s="1103"/>
      <c r="O462"/>
      <c r="P462" s="159"/>
      <c r="Q462" s="147"/>
      <c r="R462" s="149"/>
    </row>
    <row r="463" spans="1:18" s="38" customFormat="1" ht="30" customHeight="1">
      <c r="A463" s="81" t="s">
        <v>280</v>
      </c>
      <c r="B463" s="82">
        <v>1718</v>
      </c>
      <c r="C463" s="1228" t="s">
        <v>558</v>
      </c>
      <c r="D463" s="1229"/>
      <c r="E463" s="74" t="s">
        <v>282</v>
      </c>
      <c r="F463" s="75" t="s">
        <v>8</v>
      </c>
      <c r="G463" s="58" t="s">
        <v>290</v>
      </c>
      <c r="H463" s="336">
        <v>6945</v>
      </c>
      <c r="I463" s="74" t="s">
        <v>283</v>
      </c>
      <c r="J463" s="1199" t="s">
        <v>2547</v>
      </c>
      <c r="K463" s="1230"/>
      <c r="L463" s="1231"/>
      <c r="M463" s="1146"/>
      <c r="N463" s="1103"/>
      <c r="P463" s="159"/>
      <c r="Q463" s="147"/>
      <c r="R463" s="149"/>
    </row>
    <row r="464" spans="1:18" ht="30" customHeight="1">
      <c r="A464" s="77" t="s">
        <v>293</v>
      </c>
      <c r="B464" s="1232" t="s">
        <v>284</v>
      </c>
      <c r="C464" s="1232"/>
      <c r="D464" s="1232"/>
      <c r="E464" s="78" t="s">
        <v>294</v>
      </c>
      <c r="F464" s="96" t="s">
        <v>295</v>
      </c>
      <c r="G464" s="77"/>
      <c r="H464" s="77"/>
      <c r="I464" s="1233" t="s">
        <v>426</v>
      </c>
      <c r="J464" s="1234"/>
      <c r="K464" s="1206" t="s">
        <v>297</v>
      </c>
      <c r="L464" s="1207"/>
      <c r="M464" s="1146"/>
      <c r="N464" s="1103"/>
      <c r="O464"/>
      <c r="P464" s="159"/>
      <c r="Q464" s="147"/>
      <c r="R464" s="149"/>
    </row>
    <row r="465" spans="1:18" ht="30" customHeight="1">
      <c r="A465" s="97" t="s">
        <v>298</v>
      </c>
      <c r="B465" s="1222" t="s">
        <v>559</v>
      </c>
      <c r="C465" s="1222"/>
      <c r="D465" s="1222"/>
      <c r="E465" s="98">
        <v>30000</v>
      </c>
      <c r="F465" s="99">
        <v>315</v>
      </c>
      <c r="G465" s="100"/>
      <c r="H465" s="101"/>
      <c r="I465" s="1192" t="s">
        <v>2562</v>
      </c>
      <c r="J465" s="1193"/>
      <c r="K465" s="99">
        <f>+F465</f>
        <v>315</v>
      </c>
      <c r="L465" s="97" t="s">
        <v>8</v>
      </c>
      <c r="M465" s="1146"/>
      <c r="N465" s="1103"/>
      <c r="O465"/>
      <c r="P465" s="159"/>
      <c r="Q465" s="147"/>
      <c r="R465" s="149"/>
    </row>
    <row r="466" spans="1:18" ht="30" customHeight="1" thickBot="1">
      <c r="A466" s="20"/>
      <c r="B466" s="1224"/>
      <c r="C466" s="1224"/>
      <c r="D466" s="1224"/>
      <c r="E466" s="1225"/>
      <c r="F466" s="1226"/>
      <c r="G466" s="1226"/>
      <c r="H466" s="1227"/>
      <c r="I466" s="18"/>
      <c r="J466" s="79" t="s">
        <v>289</v>
      </c>
      <c r="K466" s="103">
        <f>+K465</f>
        <v>315</v>
      </c>
      <c r="L466" s="20" t="s">
        <v>8</v>
      </c>
      <c r="M466" s="1146"/>
      <c r="N466" s="1103"/>
      <c r="O466"/>
      <c r="P466" s="159"/>
      <c r="Q466" s="147"/>
      <c r="R466" s="149"/>
    </row>
    <row r="467" spans="1:18" ht="30" customHeight="1" thickBot="1">
      <c r="A467" s="1165"/>
      <c r="B467" s="1166"/>
      <c r="C467" s="1166"/>
      <c r="D467" s="1166"/>
      <c r="E467" s="1166"/>
      <c r="F467" s="1166"/>
      <c r="G467" s="1166"/>
      <c r="H467" s="1166"/>
      <c r="I467" s="1166"/>
      <c r="J467" s="1166"/>
      <c r="K467" s="1166"/>
      <c r="L467" s="1167"/>
      <c r="M467" s="1146"/>
      <c r="N467" s="1103"/>
      <c r="O467"/>
      <c r="P467" s="159"/>
      <c r="Q467" s="147"/>
      <c r="R467" s="149"/>
    </row>
    <row r="468" spans="1:18" ht="30" customHeight="1">
      <c r="A468" s="81" t="s">
        <v>280</v>
      </c>
      <c r="B468" s="82">
        <v>1721</v>
      </c>
      <c r="C468" s="1228" t="s">
        <v>560</v>
      </c>
      <c r="D468" s="1229"/>
      <c r="E468" s="74" t="s">
        <v>282</v>
      </c>
      <c r="F468" s="75" t="s">
        <v>8</v>
      </c>
      <c r="G468" s="58" t="s">
        <v>290</v>
      </c>
      <c r="H468" s="336">
        <v>18179</v>
      </c>
      <c r="I468" s="74" t="s">
        <v>283</v>
      </c>
      <c r="J468" s="1199" t="s">
        <v>2547</v>
      </c>
      <c r="K468" s="1230"/>
      <c r="L468" s="1231"/>
      <c r="M468" s="1146"/>
      <c r="N468" s="1103"/>
      <c r="O468"/>
      <c r="P468" s="159"/>
      <c r="Q468" s="147"/>
      <c r="R468" s="149"/>
    </row>
    <row r="469" spans="1:18" ht="30" customHeight="1">
      <c r="A469" s="77" t="s">
        <v>293</v>
      </c>
      <c r="B469" s="1232" t="s">
        <v>284</v>
      </c>
      <c r="C469" s="1232"/>
      <c r="D469" s="1232"/>
      <c r="E469" s="78" t="s">
        <v>294</v>
      </c>
      <c r="F469" s="96" t="s">
        <v>295</v>
      </c>
      <c r="G469" s="77"/>
      <c r="H469" s="77"/>
      <c r="I469" s="1233" t="s">
        <v>426</v>
      </c>
      <c r="J469" s="1234"/>
      <c r="K469" s="1206" t="s">
        <v>297</v>
      </c>
      <c r="L469" s="1207"/>
      <c r="M469" s="1146"/>
      <c r="N469" s="1103"/>
      <c r="O469"/>
      <c r="P469" s="159"/>
      <c r="Q469" s="147"/>
      <c r="R469" s="149"/>
    </row>
    <row r="470" spans="1:18" ht="30" customHeight="1">
      <c r="A470" s="97" t="s">
        <v>298</v>
      </c>
      <c r="B470" s="1222" t="s">
        <v>561</v>
      </c>
      <c r="C470" s="1222"/>
      <c r="D470" s="1222"/>
      <c r="E470" s="98">
        <v>55000</v>
      </c>
      <c r="F470" s="99">
        <v>385</v>
      </c>
      <c r="G470" s="100"/>
      <c r="H470" s="101"/>
      <c r="I470" s="1192" t="s">
        <v>2562</v>
      </c>
      <c r="J470" s="1193"/>
      <c r="K470" s="99">
        <f>+F470</f>
        <v>385</v>
      </c>
      <c r="L470" s="97" t="s">
        <v>8</v>
      </c>
      <c r="M470" s="1146"/>
      <c r="N470" s="1103"/>
      <c r="O470"/>
      <c r="P470" s="159"/>
      <c r="Q470" s="147"/>
      <c r="R470" s="149"/>
    </row>
    <row r="471" spans="1:18" ht="30" customHeight="1" thickBot="1">
      <c r="A471" s="20"/>
      <c r="B471" s="1224"/>
      <c r="C471" s="1224"/>
      <c r="D471" s="1224"/>
      <c r="E471" s="1225"/>
      <c r="F471" s="1226"/>
      <c r="G471" s="1226"/>
      <c r="H471" s="1227"/>
      <c r="I471" s="18"/>
      <c r="J471" s="79" t="s">
        <v>289</v>
      </c>
      <c r="K471" s="103">
        <f>+K470</f>
        <v>385</v>
      </c>
      <c r="L471" s="20" t="s">
        <v>8</v>
      </c>
      <c r="M471" s="1146"/>
      <c r="N471" s="1103"/>
      <c r="O471"/>
      <c r="P471" s="148"/>
      <c r="Q471" s="41"/>
      <c r="R471" s="149"/>
    </row>
    <row r="472" spans="1:18" ht="30" customHeight="1" thickBot="1">
      <c r="A472" s="1165"/>
      <c r="B472" s="1166"/>
      <c r="C472" s="1166"/>
      <c r="D472" s="1166"/>
      <c r="E472" s="1166"/>
      <c r="F472" s="1166"/>
      <c r="G472" s="1166"/>
      <c r="H472" s="1166"/>
      <c r="I472" s="1166"/>
      <c r="J472" s="1166"/>
      <c r="K472" s="1166"/>
      <c r="L472" s="1167"/>
      <c r="M472" s="1146"/>
      <c r="N472" s="1103"/>
      <c r="O472"/>
      <c r="P472" s="148"/>
      <c r="Q472" s="41"/>
      <c r="R472" s="149"/>
    </row>
    <row r="473" spans="1:18" s="38" customFormat="1" ht="30" customHeight="1">
      <c r="A473" s="81" t="s">
        <v>280</v>
      </c>
      <c r="B473" s="340">
        <v>1722</v>
      </c>
      <c r="C473" s="1228" t="s">
        <v>562</v>
      </c>
      <c r="D473" s="1229"/>
      <c r="E473" s="74" t="s">
        <v>282</v>
      </c>
      <c r="F473" s="75" t="s">
        <v>8</v>
      </c>
      <c r="G473" s="58" t="s">
        <v>290</v>
      </c>
      <c r="H473" s="344">
        <v>6691</v>
      </c>
      <c r="I473" s="74" t="s">
        <v>283</v>
      </c>
      <c r="J473" s="1199" t="s">
        <v>2547</v>
      </c>
      <c r="K473" s="1230"/>
      <c r="L473" s="1231"/>
      <c r="M473" s="1146"/>
      <c r="N473" s="1103"/>
      <c r="P473" s="148"/>
      <c r="Q473" s="41"/>
      <c r="R473" s="149"/>
    </row>
    <row r="474" spans="1:18" ht="30" customHeight="1">
      <c r="A474" s="77" t="s">
        <v>293</v>
      </c>
      <c r="B474" s="1232" t="s">
        <v>284</v>
      </c>
      <c r="C474" s="1232"/>
      <c r="D474" s="1232"/>
      <c r="E474" s="78" t="s">
        <v>294</v>
      </c>
      <c r="F474" s="96" t="s">
        <v>295</v>
      </c>
      <c r="G474" s="77"/>
      <c r="H474" s="77"/>
      <c r="I474" s="1233" t="s">
        <v>426</v>
      </c>
      <c r="J474" s="1234"/>
      <c r="K474" s="1206" t="s">
        <v>297</v>
      </c>
      <c r="L474" s="1207"/>
      <c r="M474" s="1146"/>
      <c r="N474" s="1103"/>
      <c r="O474"/>
      <c r="P474" s="148"/>
      <c r="Q474" s="41"/>
      <c r="R474" s="149"/>
    </row>
    <row r="475" spans="1:18" ht="30" customHeight="1">
      <c r="A475" s="97" t="s">
        <v>298</v>
      </c>
      <c r="B475" s="1222" t="s">
        <v>563</v>
      </c>
      <c r="C475" s="1222"/>
      <c r="D475" s="1222"/>
      <c r="E475" s="98">
        <v>9400</v>
      </c>
      <c r="F475" s="99">
        <v>385</v>
      </c>
      <c r="G475" s="100"/>
      <c r="H475" s="101"/>
      <c r="I475" s="1192" t="s">
        <v>2562</v>
      </c>
      <c r="J475" s="1193"/>
      <c r="K475" s="99">
        <f>+F475</f>
        <v>385</v>
      </c>
      <c r="L475" s="97" t="s">
        <v>8</v>
      </c>
      <c r="M475" s="1146"/>
      <c r="N475" s="1103"/>
      <c r="O475"/>
      <c r="P475" s="148"/>
      <c r="Q475" s="41"/>
      <c r="R475" s="149"/>
    </row>
    <row r="476" spans="1:18" ht="30" customHeight="1" thickBot="1">
      <c r="A476" s="20"/>
      <c r="B476" s="1224"/>
      <c r="C476" s="1224"/>
      <c r="D476" s="1224"/>
      <c r="E476" s="1225"/>
      <c r="F476" s="1226"/>
      <c r="G476" s="1226"/>
      <c r="H476" s="1227"/>
      <c r="I476" s="18"/>
      <c r="J476" s="79" t="s">
        <v>289</v>
      </c>
      <c r="K476" s="103">
        <f>+K475</f>
        <v>385</v>
      </c>
      <c r="L476" s="20" t="s">
        <v>8</v>
      </c>
      <c r="M476" s="1146"/>
      <c r="N476" s="1103"/>
      <c r="O476"/>
      <c r="P476" s="159"/>
      <c r="Q476" s="147"/>
      <c r="R476" s="149"/>
    </row>
    <row r="477" spans="1:18" ht="30" customHeight="1" thickBot="1">
      <c r="A477" s="1165"/>
      <c r="B477" s="1166"/>
      <c r="C477" s="1166"/>
      <c r="D477" s="1166"/>
      <c r="E477" s="1166"/>
      <c r="F477" s="1166"/>
      <c r="G477" s="1166"/>
      <c r="H477" s="1166"/>
      <c r="I477" s="1166"/>
      <c r="J477" s="1166"/>
      <c r="K477" s="1166"/>
      <c r="L477" s="1167"/>
      <c r="M477" s="1146"/>
      <c r="N477" s="1103"/>
      <c r="O477"/>
      <c r="P477" s="159"/>
      <c r="Q477" s="147"/>
      <c r="R477" s="149"/>
    </row>
    <row r="478" spans="1:18" ht="30" customHeight="1">
      <c r="A478" s="81" t="s">
        <v>280</v>
      </c>
      <c r="B478" s="82">
        <v>1723</v>
      </c>
      <c r="C478" s="1228" t="s">
        <v>564</v>
      </c>
      <c r="D478" s="1229"/>
      <c r="E478" s="74" t="s">
        <v>282</v>
      </c>
      <c r="F478" s="75" t="s">
        <v>8</v>
      </c>
      <c r="G478" s="58" t="s">
        <v>290</v>
      </c>
      <c r="H478" s="104">
        <v>842</v>
      </c>
      <c r="I478" s="74" t="s">
        <v>283</v>
      </c>
      <c r="J478" s="1310" t="s">
        <v>565</v>
      </c>
      <c r="K478" s="1310"/>
      <c r="L478" s="1311"/>
      <c r="M478" s="1146"/>
      <c r="N478" s="1103"/>
      <c r="O478"/>
      <c r="P478" s="159"/>
      <c r="Q478" s="147"/>
      <c r="R478" s="149"/>
    </row>
    <row r="479" spans="1:18" ht="30" customHeight="1">
      <c r="A479" s="77" t="s">
        <v>293</v>
      </c>
      <c r="B479" s="1232" t="s">
        <v>284</v>
      </c>
      <c r="C479" s="1232"/>
      <c r="D479" s="1232"/>
      <c r="E479" s="77" t="s">
        <v>294</v>
      </c>
      <c r="F479" s="96" t="s">
        <v>295</v>
      </c>
      <c r="G479" s="47"/>
      <c r="H479" s="345"/>
      <c r="I479" s="1233" t="s">
        <v>426</v>
      </c>
      <c r="J479" s="1234"/>
      <c r="K479" s="1303" t="s">
        <v>297</v>
      </c>
      <c r="L479" s="1304"/>
      <c r="M479" s="1146"/>
      <c r="N479" s="1103"/>
      <c r="O479"/>
      <c r="P479" s="159"/>
      <c r="Q479" s="147"/>
      <c r="R479" s="149"/>
    </row>
    <row r="480" spans="1:18" ht="30" customHeight="1">
      <c r="A480" s="20">
        <v>17123</v>
      </c>
      <c r="B480" s="1176" t="s">
        <v>2606</v>
      </c>
      <c r="C480" s="1177"/>
      <c r="D480" s="1178"/>
      <c r="E480" s="98">
        <v>800</v>
      </c>
      <c r="F480" s="1033">
        <v>333</v>
      </c>
      <c r="G480" s="47"/>
      <c r="H480" s="201"/>
      <c r="I480" s="1192">
        <f>+'2019 MILCON Inflation Table'!F18</f>
        <v>0.94232233454704462</v>
      </c>
      <c r="J480" s="1193"/>
      <c r="K480" s="106">
        <f>+F480*I480</f>
        <v>313.79333740416587</v>
      </c>
      <c r="L480" s="97" t="s">
        <v>8</v>
      </c>
      <c r="M480" s="1146"/>
      <c r="N480" s="1103"/>
      <c r="O480"/>
      <c r="P480" s="159"/>
      <c r="Q480" s="147"/>
      <c r="R480" s="149"/>
    </row>
    <row r="481" spans="1:18" s="25" customFormat="1" ht="30" customHeight="1">
      <c r="A481" s="20">
        <v>17123</v>
      </c>
      <c r="B481" s="1176" t="s">
        <v>566</v>
      </c>
      <c r="C481" s="1177"/>
      <c r="D481" s="1178"/>
      <c r="E481" s="98">
        <v>1100</v>
      </c>
      <c r="F481" s="1033">
        <v>307</v>
      </c>
      <c r="G481" s="47"/>
      <c r="H481" s="201"/>
      <c r="I481" s="1192">
        <f>+'2019 MILCON Inflation Table'!F16</f>
        <v>0.98039215686274506</v>
      </c>
      <c r="J481" s="1193"/>
      <c r="K481" s="106">
        <f>+F481*I481</f>
        <v>300.98039215686271</v>
      </c>
      <c r="L481" s="97" t="s">
        <v>8</v>
      </c>
      <c r="M481" s="1146"/>
      <c r="N481" s="1103"/>
      <c r="P481" s="229"/>
      <c r="Q481" s="1103"/>
      <c r="R481" s="230"/>
    </row>
    <row r="482" spans="1:18" ht="30" customHeight="1" thickBot="1">
      <c r="A482" s="20"/>
      <c r="B482" s="1224"/>
      <c r="C482" s="1224"/>
      <c r="D482" s="1224"/>
      <c r="E482" s="236"/>
      <c r="F482" s="246"/>
      <c r="G482" s="18"/>
      <c r="H482" s="238" t="s">
        <v>311</v>
      </c>
      <c r="I482" s="18"/>
      <c r="J482" s="79" t="s">
        <v>289</v>
      </c>
      <c r="K482" s="107">
        <f>AVERAGE(K480:K481)</f>
        <v>307.38686478051432</v>
      </c>
      <c r="L482" s="20" t="s">
        <v>8</v>
      </c>
      <c r="M482" s="1146"/>
      <c r="N482" s="1103"/>
      <c r="O482"/>
      <c r="P482" s="159"/>
      <c r="Q482" s="147"/>
      <c r="R482" s="149"/>
    </row>
    <row r="483" spans="1:18" ht="30" customHeight="1" thickBot="1">
      <c r="A483" s="1165"/>
      <c r="B483" s="1166"/>
      <c r="C483" s="1166"/>
      <c r="D483" s="1166"/>
      <c r="E483" s="1166"/>
      <c r="F483" s="1166"/>
      <c r="G483" s="1166"/>
      <c r="H483" s="1166"/>
      <c r="I483" s="1166"/>
      <c r="J483" s="1166"/>
      <c r="K483" s="1166"/>
      <c r="L483" s="1167"/>
      <c r="M483" s="1146"/>
      <c r="N483" s="1103"/>
      <c r="O483"/>
      <c r="P483" s="159"/>
      <c r="Q483" s="147"/>
      <c r="R483" s="149"/>
    </row>
    <row r="484" spans="1:18" ht="30" customHeight="1">
      <c r="A484" s="81" t="s">
        <v>280</v>
      </c>
      <c r="B484" s="82">
        <v>1724</v>
      </c>
      <c r="C484" s="1411" t="s">
        <v>567</v>
      </c>
      <c r="D484" s="1412"/>
      <c r="E484" s="74" t="s">
        <v>282</v>
      </c>
      <c r="F484" s="75" t="s">
        <v>8</v>
      </c>
      <c r="G484" s="58" t="s">
        <v>290</v>
      </c>
      <c r="H484" s="344">
        <v>11630</v>
      </c>
      <c r="I484" s="74" t="s">
        <v>283</v>
      </c>
      <c r="J484" s="1199" t="s">
        <v>2547</v>
      </c>
      <c r="K484" s="1230"/>
      <c r="L484" s="1231"/>
      <c r="M484" s="1146"/>
      <c r="N484" s="1103"/>
      <c r="O484"/>
      <c r="P484" s="159"/>
      <c r="Q484" s="147"/>
      <c r="R484" s="149"/>
    </row>
    <row r="485" spans="1:18" ht="30" customHeight="1">
      <c r="A485" s="77" t="s">
        <v>293</v>
      </c>
      <c r="B485" s="1232" t="s">
        <v>284</v>
      </c>
      <c r="C485" s="1232"/>
      <c r="D485" s="1232"/>
      <c r="E485" s="78" t="s">
        <v>294</v>
      </c>
      <c r="F485" s="96" t="s">
        <v>295</v>
      </c>
      <c r="G485" s="77"/>
      <c r="H485" s="77" t="s">
        <v>1495</v>
      </c>
      <c r="I485" s="1233" t="s">
        <v>426</v>
      </c>
      <c r="J485" s="1234"/>
      <c r="K485" s="1206" t="s">
        <v>297</v>
      </c>
      <c r="L485" s="1207"/>
      <c r="M485" s="1146"/>
      <c r="N485" s="1103"/>
      <c r="O485"/>
      <c r="P485" s="159"/>
      <c r="Q485" s="147"/>
      <c r="R485" s="149"/>
    </row>
    <row r="486" spans="1:18" ht="30" customHeight="1">
      <c r="A486" s="97" t="s">
        <v>298</v>
      </c>
      <c r="B486" s="1222" t="s">
        <v>563</v>
      </c>
      <c r="C486" s="1222"/>
      <c r="D486" s="1222"/>
      <c r="E486" s="98">
        <v>9400</v>
      </c>
      <c r="F486" s="99">
        <v>385</v>
      </c>
      <c r="G486" s="100"/>
      <c r="H486" s="101"/>
      <c r="I486" s="1192" t="s">
        <v>2562</v>
      </c>
      <c r="J486" s="1193"/>
      <c r="K486" s="99">
        <f>+F486</f>
        <v>385</v>
      </c>
      <c r="L486" s="97" t="s">
        <v>8</v>
      </c>
      <c r="M486" s="1146"/>
      <c r="N486" s="1103"/>
      <c r="O486"/>
      <c r="P486" s="159"/>
      <c r="Q486" s="147"/>
      <c r="R486" s="149"/>
    </row>
    <row r="487" spans="1:18" ht="30" customHeight="1" thickBot="1">
      <c r="A487" s="20"/>
      <c r="B487" s="1224"/>
      <c r="C487" s="1224"/>
      <c r="D487" s="1224"/>
      <c r="E487" s="1225"/>
      <c r="F487" s="1226"/>
      <c r="G487" s="1226"/>
      <c r="H487" s="1227"/>
      <c r="I487" s="18"/>
      <c r="J487" s="79" t="s">
        <v>289</v>
      </c>
      <c r="K487" s="103">
        <f>+K486</f>
        <v>385</v>
      </c>
      <c r="L487" s="20" t="s">
        <v>8</v>
      </c>
      <c r="M487" s="1146"/>
      <c r="N487" s="1103"/>
      <c r="O487"/>
      <c r="P487" s="159"/>
      <c r="Q487" s="147"/>
      <c r="R487" s="149"/>
    </row>
    <row r="488" spans="1:18" ht="30" customHeight="1" thickBot="1">
      <c r="A488" s="1165"/>
      <c r="B488" s="1166"/>
      <c r="C488" s="1166"/>
      <c r="D488" s="1166"/>
      <c r="E488" s="1166"/>
      <c r="F488" s="1166"/>
      <c r="G488" s="1166"/>
      <c r="H488" s="1166"/>
      <c r="I488" s="1166"/>
      <c r="J488" s="1166"/>
      <c r="K488" s="1166"/>
      <c r="L488" s="1167"/>
      <c r="M488" s="1146"/>
      <c r="N488" s="1103"/>
      <c r="O488"/>
      <c r="P488" s="159"/>
      <c r="Q488" s="147"/>
      <c r="R488" s="149"/>
    </row>
    <row r="489" spans="1:18" ht="30" customHeight="1">
      <c r="A489" s="81" t="s">
        <v>280</v>
      </c>
      <c r="B489" s="82">
        <v>1725</v>
      </c>
      <c r="C489" s="144" t="s">
        <v>568</v>
      </c>
      <c r="D489" s="346"/>
      <c r="E489" s="74" t="s">
        <v>282</v>
      </c>
      <c r="F489" s="75" t="s">
        <v>10</v>
      </c>
      <c r="G489" s="181" t="s">
        <v>281</v>
      </c>
      <c r="H489" s="76">
        <v>1</v>
      </c>
      <c r="I489" s="74" t="s">
        <v>283</v>
      </c>
      <c r="J489" s="1409" t="s">
        <v>2529</v>
      </c>
      <c r="K489" s="1409"/>
      <c r="L489" s="1410"/>
      <c r="M489" s="1146"/>
      <c r="N489" s="1103"/>
      <c r="O489"/>
      <c r="P489" s="159"/>
      <c r="Q489" s="147"/>
      <c r="R489" s="149"/>
    </row>
    <row r="490" spans="1:18" ht="30" customHeight="1">
      <c r="A490" s="79" t="s">
        <v>304</v>
      </c>
      <c r="B490" s="1201" t="s">
        <v>330</v>
      </c>
      <c r="C490" s="1202"/>
      <c r="D490" s="1203"/>
      <c r="E490" s="150" t="s">
        <v>295</v>
      </c>
      <c r="F490" s="150" t="s">
        <v>331</v>
      </c>
      <c r="G490" s="1204" t="s">
        <v>332</v>
      </c>
      <c r="H490" s="1205"/>
      <c r="I490" s="77" t="s">
        <v>305</v>
      </c>
      <c r="J490" s="77"/>
      <c r="K490" s="1206" t="s">
        <v>297</v>
      </c>
      <c r="L490" s="1207"/>
      <c r="M490" s="1146"/>
      <c r="N490" s="1103"/>
      <c r="O490"/>
      <c r="P490" s="159"/>
      <c r="Q490" s="147"/>
      <c r="R490" s="149"/>
    </row>
    <row r="491" spans="1:18" ht="30" customHeight="1">
      <c r="A491" s="20"/>
      <c r="B491" s="1176" t="s">
        <v>570</v>
      </c>
      <c r="C491" s="1177"/>
      <c r="D491" s="1178"/>
      <c r="E491" s="150"/>
      <c r="F491" s="150"/>
      <c r="G491" s="347"/>
      <c r="H491" s="348"/>
      <c r="I491" s="244"/>
      <c r="J491" s="244"/>
      <c r="K491" s="150"/>
      <c r="L491" s="150"/>
      <c r="M491" s="1146"/>
      <c r="N491" s="1103"/>
      <c r="O491"/>
      <c r="P491" s="159"/>
      <c r="Q491" s="147"/>
      <c r="R491" s="149"/>
    </row>
    <row r="492" spans="1:18" ht="30" customHeight="1">
      <c r="A492" s="20" t="s">
        <v>571</v>
      </c>
      <c r="B492" s="1179" t="s">
        <v>572</v>
      </c>
      <c r="C492" s="1180"/>
      <c r="D492" s="1181"/>
      <c r="E492" s="349">
        <v>165</v>
      </c>
      <c r="F492" s="22" t="s">
        <v>8</v>
      </c>
      <c r="G492" s="350">
        <f>1250*10.764</f>
        <v>13455</v>
      </c>
      <c r="H492" s="267" t="s">
        <v>573</v>
      </c>
      <c r="I492" s="20">
        <v>1.08</v>
      </c>
      <c r="J492" s="20"/>
      <c r="K492" s="349">
        <f>+E492*G492*I492</f>
        <v>2397681</v>
      </c>
      <c r="L492" s="22" t="s">
        <v>10</v>
      </c>
      <c r="M492" s="1146"/>
      <c r="N492" s="1103"/>
      <c r="O492"/>
      <c r="P492" s="159"/>
      <c r="Q492" s="147"/>
      <c r="R492" s="149"/>
    </row>
    <row r="493" spans="1:18" s="38" customFormat="1" ht="30" customHeight="1">
      <c r="A493" s="20" t="s">
        <v>574</v>
      </c>
      <c r="B493" s="1179" t="s">
        <v>419</v>
      </c>
      <c r="C493" s="1180"/>
      <c r="D493" s="1181"/>
      <c r="E493" s="349">
        <v>3.48</v>
      </c>
      <c r="F493" s="22" t="s">
        <v>8</v>
      </c>
      <c r="G493" s="350">
        <f>1250*10.764</f>
        <v>13455</v>
      </c>
      <c r="H493" s="267" t="s">
        <v>573</v>
      </c>
      <c r="I493" s="20">
        <v>1.08</v>
      </c>
      <c r="J493" s="20"/>
      <c r="K493" s="349">
        <f>+E493*G493*I493</f>
        <v>50569.272000000004</v>
      </c>
      <c r="L493" s="22" t="s">
        <v>10</v>
      </c>
      <c r="M493" s="1146"/>
      <c r="N493" s="1103"/>
      <c r="P493" s="159"/>
      <c r="Q493" s="147"/>
      <c r="R493" s="149"/>
    </row>
    <row r="494" spans="1:18" ht="30" customHeight="1">
      <c r="A494" s="351"/>
      <c r="B494" s="1267"/>
      <c r="C494" s="1267"/>
      <c r="D494" s="1267"/>
      <c r="E494" s="153"/>
      <c r="F494" s="20"/>
      <c r="G494" s="352"/>
      <c r="H494" s="22"/>
      <c r="I494" s="20"/>
      <c r="J494" s="20" t="s">
        <v>379</v>
      </c>
      <c r="K494" s="353">
        <f>SUM(K492:K493)</f>
        <v>2448250.2719999999</v>
      </c>
      <c r="L494" s="20" t="s">
        <v>10</v>
      </c>
      <c r="M494" s="1146"/>
      <c r="N494" s="1103"/>
      <c r="O494"/>
      <c r="P494" s="159"/>
      <c r="Q494" s="147"/>
      <c r="R494" s="149"/>
    </row>
    <row r="495" spans="1:18" ht="30" customHeight="1">
      <c r="A495" s="20"/>
      <c r="B495" s="157"/>
      <c r="C495" s="157"/>
      <c r="D495" s="330" t="s">
        <v>575</v>
      </c>
      <c r="E495" s="153"/>
      <c r="F495" s="1174" t="s">
        <v>308</v>
      </c>
      <c r="G495" s="1208" t="s">
        <v>309</v>
      </c>
      <c r="H495" s="1208"/>
      <c r="I495" s="1208"/>
      <c r="J495" s="1208"/>
      <c r="K495" s="123">
        <v>1.06</v>
      </c>
      <c r="L495" s="10"/>
      <c r="M495" s="1146"/>
      <c r="N495" s="1103"/>
      <c r="O495"/>
      <c r="P495" s="159"/>
      <c r="Q495" s="147"/>
      <c r="R495" s="149"/>
    </row>
    <row r="496" spans="1:18" ht="30" customHeight="1">
      <c r="A496" s="20"/>
      <c r="B496" s="157"/>
      <c r="C496" s="157"/>
      <c r="D496" s="157"/>
      <c r="E496" s="153"/>
      <c r="F496" s="1175"/>
      <c r="G496" s="1209" t="s">
        <v>310</v>
      </c>
      <c r="H496" s="1209"/>
      <c r="I496" s="1209"/>
      <c r="J496" s="1209"/>
      <c r="K496" s="123">
        <v>1.07</v>
      </c>
      <c r="L496" s="10"/>
      <c r="M496" s="1146"/>
      <c r="N496" s="1103"/>
      <c r="O496"/>
      <c r="P496" s="159"/>
      <c r="Q496" s="147"/>
      <c r="R496" s="149"/>
    </row>
    <row r="497" spans="1:18" ht="30" customHeight="1">
      <c r="A497" s="20"/>
      <c r="B497" s="20"/>
      <c r="C497" s="18"/>
      <c r="D497" s="38"/>
      <c r="E497" s="18"/>
      <c r="F497" s="18"/>
      <c r="G497" s="18"/>
      <c r="H497" s="18"/>
      <c r="I497" s="18"/>
      <c r="J497" s="20" t="s">
        <v>289</v>
      </c>
      <c r="K497" s="354">
        <f>+K494*K495/K496</f>
        <v>2425369.4283364485</v>
      </c>
      <c r="L497" s="20" t="s">
        <v>10</v>
      </c>
      <c r="M497" s="1146"/>
      <c r="N497" s="1103"/>
      <c r="O497"/>
      <c r="P497" s="159"/>
      <c r="Q497" s="147"/>
      <c r="R497" s="149"/>
    </row>
    <row r="498" spans="1:18" ht="30" customHeight="1" thickBot="1">
      <c r="A498" s="20"/>
      <c r="B498" s="20"/>
      <c r="C498" s="18"/>
      <c r="D498" s="18"/>
      <c r="E498" s="18"/>
      <c r="F498" s="18"/>
      <c r="G498" s="160" t="s">
        <v>312</v>
      </c>
      <c r="H498" s="18"/>
      <c r="I498" s="18"/>
      <c r="J498" s="139">
        <f>VLOOKUP(B489,'Mil Cost Premiums for RUCs'!$A$4:$R$266,18,FALSE)</f>
        <v>1.1379589900046172</v>
      </c>
      <c r="K498" s="23">
        <f>+K497*J498</f>
        <v>2759970.9450578205</v>
      </c>
      <c r="L498" s="20" t="s">
        <v>10</v>
      </c>
      <c r="M498" s="1146"/>
      <c r="N498" s="1103"/>
      <c r="O498"/>
      <c r="P498" s="159"/>
      <c r="Q498" s="147"/>
      <c r="R498" s="149"/>
    </row>
    <row r="499" spans="1:18" ht="30" customHeight="1" thickBot="1">
      <c r="A499" s="1165"/>
      <c r="B499" s="1166"/>
      <c r="C499" s="1166"/>
      <c r="D499" s="1166"/>
      <c r="E499" s="1166"/>
      <c r="F499" s="1166"/>
      <c r="G499" s="1166"/>
      <c r="H499" s="1166"/>
      <c r="I499" s="1166"/>
      <c r="J499" s="1166"/>
      <c r="K499" s="1166"/>
      <c r="L499" s="1167"/>
      <c r="M499" s="1146"/>
      <c r="N499" s="1103"/>
      <c r="O499"/>
      <c r="P499" s="159"/>
      <c r="Q499" s="147"/>
      <c r="R499" s="149"/>
    </row>
    <row r="500" spans="1:18" ht="30" customHeight="1">
      <c r="A500" s="81" t="s">
        <v>280</v>
      </c>
      <c r="B500" s="82">
        <v>1731</v>
      </c>
      <c r="C500" s="1228" t="s">
        <v>576</v>
      </c>
      <c r="D500" s="1229"/>
      <c r="E500" s="74" t="s">
        <v>282</v>
      </c>
      <c r="F500" s="75" t="s">
        <v>8</v>
      </c>
      <c r="G500" s="58" t="s">
        <v>290</v>
      </c>
      <c r="H500" s="344">
        <v>1439</v>
      </c>
      <c r="I500" s="74" t="s">
        <v>283</v>
      </c>
      <c r="J500" s="1310" t="s">
        <v>2607</v>
      </c>
      <c r="K500" s="1310"/>
      <c r="L500" s="1311"/>
      <c r="M500" s="1146"/>
      <c r="N500" s="1103"/>
      <c r="O500"/>
      <c r="P500" s="159"/>
      <c r="Q500" s="147"/>
      <c r="R500" s="149"/>
    </row>
    <row r="501" spans="1:18" ht="30" customHeight="1">
      <c r="A501" s="77" t="s">
        <v>293</v>
      </c>
      <c r="B501" s="1232" t="s">
        <v>284</v>
      </c>
      <c r="C501" s="1232"/>
      <c r="D501" s="1232"/>
      <c r="E501" s="96" t="s">
        <v>295</v>
      </c>
      <c r="F501" s="77" t="s">
        <v>294</v>
      </c>
      <c r="G501" s="1365" t="s">
        <v>332</v>
      </c>
      <c r="H501" s="1366"/>
      <c r="I501" s="1233" t="s">
        <v>426</v>
      </c>
      <c r="J501" s="1234"/>
      <c r="K501" s="1206" t="s">
        <v>297</v>
      </c>
      <c r="L501" s="1207"/>
      <c r="M501" s="1146"/>
      <c r="N501" s="1103"/>
      <c r="O501"/>
      <c r="P501" s="159"/>
      <c r="Q501" s="147"/>
      <c r="R501" s="149"/>
    </row>
    <row r="502" spans="1:18" ht="30" customHeight="1">
      <c r="A502" s="20">
        <v>17122</v>
      </c>
      <c r="B502" s="1179" t="s">
        <v>577</v>
      </c>
      <c r="C502" s="1180"/>
      <c r="D502" s="1181"/>
      <c r="E502" s="153">
        <v>802</v>
      </c>
      <c r="F502" s="316">
        <v>190</v>
      </c>
      <c r="G502" s="286"/>
      <c r="H502" s="286"/>
      <c r="I502" s="1192">
        <f>+'2019 MILCON Inflation Table'!$F$18</f>
        <v>0.94232233454704462</v>
      </c>
      <c r="J502" s="1193"/>
      <c r="K502" s="106">
        <f>+E502*I502</f>
        <v>755.74251230672974</v>
      </c>
      <c r="L502" s="97" t="s">
        <v>8</v>
      </c>
      <c r="M502" s="1146"/>
      <c r="N502" s="1103"/>
      <c r="O502"/>
      <c r="P502" s="159"/>
      <c r="Q502" s="147"/>
      <c r="R502" s="149"/>
    </row>
    <row r="503" spans="1:18" ht="30" customHeight="1">
      <c r="A503" s="20">
        <v>17122</v>
      </c>
      <c r="B503" s="1179" t="s">
        <v>578</v>
      </c>
      <c r="C503" s="1180"/>
      <c r="D503" s="1181"/>
      <c r="E503" s="153">
        <v>518</v>
      </c>
      <c r="F503" s="316">
        <v>800</v>
      </c>
      <c r="G503" s="286"/>
      <c r="H503" s="286"/>
      <c r="I503" s="1192">
        <f>+'2019 MILCON Inflation Table'!$F$18</f>
        <v>0.94232233454704462</v>
      </c>
      <c r="J503" s="1193"/>
      <c r="K503" s="106">
        <f>+E503*I503</f>
        <v>488.1229692953691</v>
      </c>
      <c r="L503" s="97" t="s">
        <v>8</v>
      </c>
      <c r="M503" s="1146"/>
      <c r="N503" s="1103"/>
      <c r="O503"/>
      <c r="P503" s="159"/>
      <c r="Q503" s="147"/>
      <c r="R503" s="149"/>
    </row>
    <row r="504" spans="1:18" ht="30" customHeight="1">
      <c r="A504" s="20">
        <v>17123</v>
      </c>
      <c r="B504" s="1179" t="s">
        <v>579</v>
      </c>
      <c r="C504" s="1180"/>
      <c r="D504" s="1181"/>
      <c r="E504" s="153">
        <v>333</v>
      </c>
      <c r="F504" s="316">
        <v>800</v>
      </c>
      <c r="G504" s="286"/>
      <c r="H504" s="286"/>
      <c r="I504" s="1192">
        <f>+'2019 MILCON Inflation Table'!$F$18</f>
        <v>0.94232233454704462</v>
      </c>
      <c r="J504" s="1193"/>
      <c r="K504" s="106">
        <f>+E504*I504</f>
        <v>313.79333740416587</v>
      </c>
      <c r="L504" s="97" t="s">
        <v>8</v>
      </c>
      <c r="M504" s="1146"/>
      <c r="N504" s="1103"/>
      <c r="O504"/>
      <c r="P504" s="159"/>
      <c r="Q504" s="147"/>
      <c r="R504" s="149"/>
    </row>
    <row r="505" spans="1:18" ht="30" customHeight="1">
      <c r="A505" s="20">
        <v>17123</v>
      </c>
      <c r="B505" s="1176" t="s">
        <v>580</v>
      </c>
      <c r="C505" s="1177"/>
      <c r="D505" s="1178"/>
      <c r="E505" s="153">
        <v>307</v>
      </c>
      <c r="F505" s="316">
        <v>1100</v>
      </c>
      <c r="G505" s="100"/>
      <c r="H505" s="100"/>
      <c r="I505" s="1192">
        <f>+'2019 MILCON Inflation Table'!$F$16</f>
        <v>0.98039215686274506</v>
      </c>
      <c r="J505" s="1193"/>
      <c r="K505" s="106">
        <f>+E505*I505</f>
        <v>300.98039215686271</v>
      </c>
      <c r="L505" s="97" t="s">
        <v>8</v>
      </c>
      <c r="M505" s="1146"/>
      <c r="N505" s="1103"/>
      <c r="O505"/>
      <c r="P505" s="159"/>
      <c r="Q505" s="147"/>
      <c r="R505" s="149"/>
    </row>
    <row r="506" spans="1:18" ht="30" customHeight="1">
      <c r="A506" s="20">
        <v>17139</v>
      </c>
      <c r="B506" s="1176" t="s">
        <v>581</v>
      </c>
      <c r="C506" s="1177"/>
      <c r="D506" s="1178"/>
      <c r="E506" s="153">
        <v>199</v>
      </c>
      <c r="F506" s="316">
        <v>800</v>
      </c>
      <c r="G506" s="100"/>
      <c r="H506" s="100"/>
      <c r="I506" s="1192">
        <f>+'2019 MILCON Inflation Table'!$F$18</f>
        <v>0.94232233454704462</v>
      </c>
      <c r="J506" s="1193"/>
      <c r="K506" s="106">
        <f>+E506*I506</f>
        <v>187.52214457486187</v>
      </c>
      <c r="L506" s="97" t="s">
        <v>8</v>
      </c>
      <c r="M506" s="1146"/>
      <c r="N506" s="1103"/>
      <c r="O506"/>
      <c r="P506" s="159"/>
      <c r="Q506" s="147"/>
      <c r="R506" s="149"/>
    </row>
    <row r="507" spans="1:18" ht="30" customHeight="1" thickBot="1">
      <c r="A507" s="20"/>
      <c r="B507" s="91"/>
      <c r="C507" s="181"/>
      <c r="D507" s="181"/>
      <c r="E507" s="181"/>
      <c r="F507" s="338"/>
      <c r="G507" s="181"/>
      <c r="H507" s="339"/>
      <c r="I507" s="18"/>
      <c r="J507" s="79" t="s">
        <v>289</v>
      </c>
      <c r="K507" s="107">
        <f>AVERAGE(K502:K506)</f>
        <v>409.23227114759788</v>
      </c>
      <c r="L507" s="20" t="s">
        <v>8</v>
      </c>
      <c r="M507" s="1146"/>
      <c r="N507" s="1103"/>
      <c r="O507"/>
      <c r="P507" s="159"/>
      <c r="Q507" s="147"/>
      <c r="R507" s="149"/>
    </row>
    <row r="508" spans="1:18" ht="30" customHeight="1" thickBot="1">
      <c r="A508" s="1165"/>
      <c r="B508" s="1166"/>
      <c r="C508" s="1166"/>
      <c r="D508" s="1166"/>
      <c r="E508" s="1166"/>
      <c r="F508" s="1166"/>
      <c r="G508" s="1166"/>
      <c r="H508" s="1166"/>
      <c r="I508" s="1166"/>
      <c r="J508" s="1166"/>
      <c r="K508" s="1166"/>
      <c r="L508" s="1167"/>
      <c r="M508" s="1146"/>
      <c r="N508" s="1103"/>
      <c r="O508"/>
      <c r="P508" s="159"/>
      <c r="Q508" s="147"/>
      <c r="R508" s="149"/>
    </row>
    <row r="509" spans="1:18" ht="30" customHeight="1">
      <c r="A509" s="81" t="s">
        <v>280</v>
      </c>
      <c r="B509" s="82">
        <v>1732</v>
      </c>
      <c r="C509" s="1228" t="s">
        <v>582</v>
      </c>
      <c r="D509" s="1229"/>
      <c r="E509" s="74" t="s">
        <v>282</v>
      </c>
      <c r="F509" s="75" t="s">
        <v>8</v>
      </c>
      <c r="G509" s="58" t="s">
        <v>290</v>
      </c>
      <c r="H509" s="337">
        <v>8283</v>
      </c>
      <c r="I509" s="74" t="s">
        <v>283</v>
      </c>
      <c r="J509" s="1199" t="s">
        <v>550</v>
      </c>
      <c r="K509" s="1230"/>
      <c r="L509" s="1231"/>
      <c r="M509" s="1146"/>
      <c r="N509" s="1103"/>
      <c r="O509"/>
      <c r="P509" s="159"/>
      <c r="Q509" s="147"/>
      <c r="R509" s="149"/>
    </row>
    <row r="510" spans="1:18" ht="30" customHeight="1">
      <c r="A510" s="77" t="s">
        <v>293</v>
      </c>
      <c r="B510" s="1232" t="s">
        <v>284</v>
      </c>
      <c r="C510" s="1232"/>
      <c r="D510" s="1232"/>
      <c r="E510" s="96" t="s">
        <v>295</v>
      </c>
      <c r="F510" s="77" t="s">
        <v>294</v>
      </c>
      <c r="G510" s="1365" t="s">
        <v>332</v>
      </c>
      <c r="H510" s="1366"/>
      <c r="I510" s="1233" t="s">
        <v>426</v>
      </c>
      <c r="J510" s="1234"/>
      <c r="K510" s="1206" t="s">
        <v>297</v>
      </c>
      <c r="L510" s="1207"/>
      <c r="M510" s="1146"/>
      <c r="N510" s="1103"/>
      <c r="O510"/>
      <c r="P510" s="159"/>
      <c r="Q510" s="147"/>
      <c r="R510" s="149"/>
    </row>
    <row r="511" spans="1:18" ht="30" customHeight="1">
      <c r="A511" s="20">
        <v>14129</v>
      </c>
      <c r="B511" s="1179" t="s">
        <v>583</v>
      </c>
      <c r="C511" s="1180"/>
      <c r="D511" s="1181"/>
      <c r="E511" s="153">
        <v>247</v>
      </c>
      <c r="F511" s="316">
        <v>120000</v>
      </c>
      <c r="G511" s="100"/>
      <c r="H511" s="100"/>
      <c r="I511" s="1192">
        <f>+'2019 MILCON Inflation Table'!F17</f>
        <v>0.96116878123798544</v>
      </c>
      <c r="J511" s="1193"/>
      <c r="K511" s="106">
        <f>+E511*I511</f>
        <v>237.4086889657824</v>
      </c>
      <c r="L511" s="97" t="s">
        <v>8</v>
      </c>
      <c r="M511" s="1146"/>
      <c r="N511" s="1103"/>
      <c r="O511"/>
      <c r="P511" s="159"/>
      <c r="Q511" s="147"/>
      <c r="R511" s="149"/>
    </row>
    <row r="512" spans="1:18" ht="30" customHeight="1" thickBot="1">
      <c r="A512" s="20"/>
      <c r="B512" s="91"/>
      <c r="C512" s="181"/>
      <c r="D512" s="181"/>
      <c r="E512" s="181"/>
      <c r="F512" s="338"/>
      <c r="G512" s="181"/>
      <c r="H512" s="339"/>
      <c r="I512" s="18"/>
      <c r="J512" s="79" t="s">
        <v>289</v>
      </c>
      <c r="K512" s="107">
        <f>+K511</f>
        <v>237.4086889657824</v>
      </c>
      <c r="L512" s="20" t="s">
        <v>8</v>
      </c>
      <c r="M512" s="1146"/>
      <c r="N512" s="1103"/>
      <c r="O512"/>
      <c r="P512" s="159"/>
      <c r="Q512" s="147"/>
      <c r="R512" s="149"/>
    </row>
    <row r="513" spans="1:21" ht="30" customHeight="1" thickBot="1">
      <c r="A513" s="1165"/>
      <c r="B513" s="1166"/>
      <c r="C513" s="1166"/>
      <c r="D513" s="1166"/>
      <c r="E513" s="1166"/>
      <c r="F513" s="1166"/>
      <c r="G513" s="1166"/>
      <c r="H513" s="1166"/>
      <c r="I513" s="1166"/>
      <c r="J513" s="1166"/>
      <c r="K513" s="1166"/>
      <c r="L513" s="1167"/>
      <c r="M513" s="1146"/>
      <c r="N513" s="1103"/>
      <c r="O513"/>
      <c r="P513" s="159"/>
      <c r="Q513" s="147"/>
      <c r="R513" s="149"/>
    </row>
    <row r="514" spans="1:21" ht="30" customHeight="1">
      <c r="A514" s="81" t="s">
        <v>280</v>
      </c>
      <c r="B514" s="82">
        <v>1733</v>
      </c>
      <c r="C514" s="1228" t="s">
        <v>584</v>
      </c>
      <c r="D514" s="1229"/>
      <c r="E514" s="74" t="s">
        <v>282</v>
      </c>
      <c r="F514" s="75" t="s">
        <v>8</v>
      </c>
      <c r="G514" s="58" t="s">
        <v>290</v>
      </c>
      <c r="H514" s="337">
        <v>1526</v>
      </c>
      <c r="I514" s="74" t="s">
        <v>283</v>
      </c>
      <c r="J514" s="1199" t="s">
        <v>2608</v>
      </c>
      <c r="K514" s="1230"/>
      <c r="L514" s="1231"/>
      <c r="M514" s="1146"/>
      <c r="N514" s="1103"/>
      <c r="O514"/>
      <c r="P514" s="159"/>
      <c r="Q514" s="147"/>
      <c r="R514" s="149"/>
    </row>
    <row r="515" spans="1:21" ht="30" customHeight="1">
      <c r="A515" s="77" t="s">
        <v>293</v>
      </c>
      <c r="B515" s="1232" t="s">
        <v>284</v>
      </c>
      <c r="C515" s="1232"/>
      <c r="D515" s="1232"/>
      <c r="E515" s="96" t="s">
        <v>295</v>
      </c>
      <c r="F515" s="77" t="s">
        <v>294</v>
      </c>
      <c r="G515" s="1365" t="s">
        <v>332</v>
      </c>
      <c r="H515" s="1366"/>
      <c r="I515" s="1233" t="s">
        <v>426</v>
      </c>
      <c r="J515" s="1234"/>
      <c r="K515" s="1206" t="s">
        <v>297</v>
      </c>
      <c r="L515" s="1207"/>
      <c r="M515" s="1146"/>
      <c r="N515" s="1103"/>
      <c r="O515"/>
      <c r="P515" s="159"/>
      <c r="Q515" s="147"/>
      <c r="R515" s="149"/>
    </row>
    <row r="516" spans="1:21" ht="30" customHeight="1">
      <c r="A516" s="45">
        <v>75061</v>
      </c>
      <c r="B516" s="1383" t="s">
        <v>585</v>
      </c>
      <c r="C516" s="1384"/>
      <c r="D516" s="1385"/>
      <c r="E516" s="187">
        <v>160683</v>
      </c>
      <c r="F516" s="582">
        <v>1</v>
      </c>
      <c r="G516" s="355">
        <f>+H514</f>
        <v>1526</v>
      </c>
      <c r="H516" s="356" t="s">
        <v>586</v>
      </c>
      <c r="I516" s="1192">
        <f>+'2019 MILCON Inflation Table'!F18</f>
        <v>0.94232233454704462</v>
      </c>
      <c r="J516" s="1193"/>
      <c r="K516" s="94">
        <f>+E516/G516*I516</f>
        <v>99.22357777327835</v>
      </c>
      <c r="L516" s="48" t="s">
        <v>8</v>
      </c>
      <c r="M516" s="1146"/>
      <c r="N516" s="1103"/>
      <c r="O516"/>
      <c r="P516" s="159"/>
      <c r="Q516" s="147"/>
      <c r="R516" s="149"/>
    </row>
    <row r="517" spans="1:21" ht="30" customHeight="1">
      <c r="A517" s="45">
        <v>17139</v>
      </c>
      <c r="B517" s="1176" t="s">
        <v>587</v>
      </c>
      <c r="C517" s="1177"/>
      <c r="D517" s="1178"/>
      <c r="E517" s="187">
        <v>163</v>
      </c>
      <c r="F517" s="357">
        <v>1400</v>
      </c>
      <c r="G517" s="358"/>
      <c r="H517" s="358"/>
      <c r="I517" s="1192">
        <f>+'2019 MILCON Inflation Table'!F16</f>
        <v>0.98039215686274506</v>
      </c>
      <c r="J517" s="1193"/>
      <c r="K517" s="94">
        <f>+E517*I517</f>
        <v>159.80392156862743</v>
      </c>
      <c r="L517" s="48" t="s">
        <v>8</v>
      </c>
      <c r="M517" s="1146"/>
      <c r="N517" s="1103"/>
      <c r="O517"/>
      <c r="P517" s="159"/>
      <c r="Q517" s="147"/>
      <c r="R517" s="149"/>
    </row>
    <row r="518" spans="1:21" ht="30" customHeight="1" thickBot="1">
      <c r="A518" s="45"/>
      <c r="B518" s="29"/>
      <c r="C518" s="70"/>
      <c r="D518" s="70"/>
      <c r="E518" s="70"/>
      <c r="F518" s="359"/>
      <c r="G518" s="70"/>
      <c r="H518" s="312" t="s">
        <v>311</v>
      </c>
      <c r="I518" s="46"/>
      <c r="J518" s="37" t="s">
        <v>289</v>
      </c>
      <c r="K518" s="87">
        <f>AVERAGE(K516:K517)</f>
        <v>129.5137496709529</v>
      </c>
      <c r="L518" s="45" t="s">
        <v>8</v>
      </c>
      <c r="M518" s="1146"/>
      <c r="P518" s="34"/>
      <c r="Q518" s="34"/>
      <c r="R518" s="34"/>
      <c r="S518" s="44"/>
      <c r="T518" s="44"/>
      <c r="U518" s="34"/>
    </row>
    <row r="519" spans="1:21" s="38" customFormat="1" ht="30" customHeight="1" thickBot="1">
      <c r="A519" s="1165"/>
      <c r="B519" s="1166"/>
      <c r="C519" s="1166"/>
      <c r="D519" s="1166"/>
      <c r="E519" s="1166"/>
      <c r="F519" s="1166"/>
      <c r="G519" s="1166"/>
      <c r="H519" s="1166"/>
      <c r="I519" s="1166"/>
      <c r="J519" s="1166"/>
      <c r="K519" s="1166"/>
      <c r="L519" s="1167"/>
      <c r="M519" s="1146"/>
      <c r="N519" s="193"/>
      <c r="O519" s="1119"/>
      <c r="P519" s="39"/>
      <c r="Q519" s="39"/>
      <c r="R519" s="39"/>
      <c r="S519" s="84"/>
      <c r="T519" s="84"/>
      <c r="U519" s="39"/>
    </row>
    <row r="520" spans="1:21" s="32" customFormat="1" ht="30" customHeight="1">
      <c r="A520" s="27" t="s">
        <v>280</v>
      </c>
      <c r="B520" s="28">
        <v>1734</v>
      </c>
      <c r="C520" s="1215" t="s">
        <v>588</v>
      </c>
      <c r="D520" s="1216"/>
      <c r="E520" s="30" t="s">
        <v>282</v>
      </c>
      <c r="F520" s="31" t="s">
        <v>10</v>
      </c>
      <c r="G520" s="29" t="s">
        <v>281</v>
      </c>
      <c r="H520" s="313">
        <v>1</v>
      </c>
      <c r="I520" s="30" t="s">
        <v>283</v>
      </c>
      <c r="J520" s="1199" t="s">
        <v>2608</v>
      </c>
      <c r="K520" s="1230"/>
      <c r="L520" s="1231"/>
      <c r="M520" s="1146"/>
      <c r="N520" s="125"/>
      <c r="O520" s="33"/>
    </row>
    <row r="521" spans="1:21" ht="30" customHeight="1">
      <c r="A521" s="35" t="s">
        <v>293</v>
      </c>
      <c r="B521" s="1299" t="s">
        <v>284</v>
      </c>
      <c r="C521" s="1299"/>
      <c r="D521" s="1299"/>
      <c r="E521" s="310" t="s">
        <v>295</v>
      </c>
      <c r="F521" s="35" t="s">
        <v>294</v>
      </c>
      <c r="G521" s="1413" t="s">
        <v>332</v>
      </c>
      <c r="H521" s="1414"/>
      <c r="I521" s="1233" t="s">
        <v>296</v>
      </c>
      <c r="J521" s="1234"/>
      <c r="K521" s="1381" t="s">
        <v>297</v>
      </c>
      <c r="L521" s="1382"/>
      <c r="M521" s="1146"/>
    </row>
    <row r="522" spans="1:21" ht="30" customHeight="1">
      <c r="A522" s="45">
        <v>17971</v>
      </c>
      <c r="B522" s="1179" t="s">
        <v>2609</v>
      </c>
      <c r="C522" s="1180"/>
      <c r="D522" s="1181"/>
      <c r="E522" s="153">
        <v>257274</v>
      </c>
      <c r="F522" s="316">
        <v>1</v>
      </c>
      <c r="G522" s="286"/>
      <c r="H522" s="286"/>
      <c r="I522" s="1192">
        <f>+'2019 MILCON Inflation Table'!F18</f>
        <v>0.94232233454704462</v>
      </c>
      <c r="J522" s="1193"/>
      <c r="K522" s="106">
        <f>+E522*I522</f>
        <v>242435.03629825637</v>
      </c>
      <c r="L522" s="97" t="s">
        <v>10</v>
      </c>
      <c r="M522" s="1146"/>
    </row>
    <row r="523" spans="1:21" ht="30" customHeight="1">
      <c r="A523" s="45">
        <v>17971</v>
      </c>
      <c r="B523" s="1062" t="s">
        <v>2865</v>
      </c>
      <c r="C523" s="1063"/>
      <c r="D523" s="1063"/>
      <c r="E523" s="287">
        <v>945392</v>
      </c>
      <c r="F523" s="527">
        <v>1</v>
      </c>
      <c r="G523" s="528"/>
      <c r="H523" s="529"/>
      <c r="I523" s="1192">
        <f>+'2019 MILCON Inflation Table'!F18</f>
        <v>0.94232233454704462</v>
      </c>
      <c r="J523" s="1193"/>
      <c r="K523" s="106">
        <f>+E523*I523</f>
        <v>890863.99650209956</v>
      </c>
      <c r="L523" s="97" t="s">
        <v>10</v>
      </c>
      <c r="M523" s="1146"/>
      <c r="P523" s="34"/>
      <c r="Q523" s="34"/>
      <c r="R523" s="34"/>
      <c r="S523" s="44"/>
      <c r="T523" s="44"/>
      <c r="U523" s="34"/>
    </row>
    <row r="524" spans="1:21" s="38" customFormat="1" ht="30" customHeight="1" thickBot="1">
      <c r="A524" s="45"/>
      <c r="B524" s="29"/>
      <c r="C524" s="70"/>
      <c r="D524" s="70"/>
      <c r="E524" s="181"/>
      <c r="F524" s="338"/>
      <c r="G524" s="181"/>
      <c r="H524" s="339"/>
      <c r="I524" s="18"/>
      <c r="J524" s="79" t="s">
        <v>289</v>
      </c>
      <c r="K524" s="107">
        <f>AVERAGE(K522,K523)</f>
        <v>566649.51640017796</v>
      </c>
      <c r="L524" s="97" t="s">
        <v>10</v>
      </c>
      <c r="M524" s="1146"/>
      <c r="N524" s="193"/>
      <c r="O524" s="1119"/>
      <c r="P524" s="39"/>
      <c r="Q524" s="39"/>
      <c r="R524" s="39"/>
      <c r="S524" s="84"/>
      <c r="T524" s="84"/>
      <c r="U524" s="39"/>
    </row>
    <row r="525" spans="1:21" s="32" customFormat="1" ht="30" customHeight="1" thickBot="1">
      <c r="A525" s="1165"/>
      <c r="B525" s="1166"/>
      <c r="C525" s="1166"/>
      <c r="D525" s="1166"/>
      <c r="E525" s="1166"/>
      <c r="F525" s="1166"/>
      <c r="G525" s="1166"/>
      <c r="H525" s="1166"/>
      <c r="I525" s="1166"/>
      <c r="J525" s="1166"/>
      <c r="K525" s="1166"/>
      <c r="L525" s="1167"/>
      <c r="M525" s="1146"/>
      <c r="N525" s="125"/>
      <c r="O525" s="33"/>
    </row>
    <row r="526" spans="1:21" ht="30" customHeight="1">
      <c r="A526" s="27" t="s">
        <v>280</v>
      </c>
      <c r="B526" s="28">
        <v>1745</v>
      </c>
      <c r="C526" s="1393" t="s">
        <v>589</v>
      </c>
      <c r="D526" s="1394"/>
      <c r="E526" s="74" t="s">
        <v>282</v>
      </c>
      <c r="F526" s="75" t="s">
        <v>34</v>
      </c>
      <c r="G526" s="58" t="s">
        <v>290</v>
      </c>
      <c r="H526" s="360">
        <v>6</v>
      </c>
      <c r="I526" s="74" t="s">
        <v>283</v>
      </c>
      <c r="J526" s="1409" t="s">
        <v>2529</v>
      </c>
      <c r="K526" s="1409"/>
      <c r="L526" s="1410"/>
      <c r="M526" s="1146"/>
    </row>
    <row r="527" spans="1:21" ht="30" customHeight="1">
      <c r="A527" s="37" t="s">
        <v>304</v>
      </c>
      <c r="B527" s="1300" t="s">
        <v>330</v>
      </c>
      <c r="C527" s="1301"/>
      <c r="D527" s="1302"/>
      <c r="E527" s="150" t="s">
        <v>295</v>
      </c>
      <c r="F527" s="150" t="s">
        <v>331</v>
      </c>
      <c r="G527" s="1204" t="s">
        <v>332</v>
      </c>
      <c r="H527" s="1205"/>
      <c r="I527" s="77" t="s">
        <v>305</v>
      </c>
      <c r="J527" s="77"/>
      <c r="K527" s="1206" t="s">
        <v>297</v>
      </c>
      <c r="L527" s="1207"/>
      <c r="M527" s="1146"/>
    </row>
    <row r="528" spans="1:21" ht="30" customHeight="1">
      <c r="A528" s="45" t="s">
        <v>590</v>
      </c>
      <c r="B528" s="1188" t="s">
        <v>591</v>
      </c>
      <c r="C528" s="1189"/>
      <c r="D528" s="1190"/>
      <c r="E528" s="331">
        <v>0.28000000000000003</v>
      </c>
      <c r="F528" s="22" t="s">
        <v>8</v>
      </c>
      <c r="G528" s="361">
        <v>43560</v>
      </c>
      <c r="H528" s="333" t="s">
        <v>592</v>
      </c>
      <c r="I528" s="20">
        <v>1.05</v>
      </c>
      <c r="J528" s="20"/>
      <c r="K528" s="349">
        <f>+E528*G528*I528</f>
        <v>12806.640000000001</v>
      </c>
      <c r="L528" s="22" t="s">
        <v>34</v>
      </c>
      <c r="M528" s="1146"/>
      <c r="N528" s="1103"/>
      <c r="O528"/>
      <c r="P528" s="159"/>
      <c r="Q528" s="147"/>
      <c r="R528" s="149"/>
    </row>
    <row r="529" spans="1:18" s="38" customFormat="1" ht="30" customHeight="1">
      <c r="A529" s="45" t="s">
        <v>590</v>
      </c>
      <c r="B529" s="1383" t="s">
        <v>593</v>
      </c>
      <c r="C529" s="1384"/>
      <c r="D529" s="1385"/>
      <c r="E529" s="335">
        <v>0.17</v>
      </c>
      <c r="F529" s="22" t="s">
        <v>8</v>
      </c>
      <c r="G529" s="361">
        <v>43560</v>
      </c>
      <c r="H529" s="333" t="s">
        <v>592</v>
      </c>
      <c r="I529" s="20">
        <v>1.05</v>
      </c>
      <c r="J529" s="20"/>
      <c r="K529" s="349">
        <f>+E529*G529*I529</f>
        <v>7775.4600000000009</v>
      </c>
      <c r="L529" s="22" t="s">
        <v>34</v>
      </c>
      <c r="M529" s="1146"/>
      <c r="N529" s="1103"/>
      <c r="P529" s="159"/>
      <c r="Q529" s="147"/>
      <c r="R529" s="149"/>
    </row>
    <row r="530" spans="1:18" ht="30" customHeight="1">
      <c r="A530" s="45" t="s">
        <v>590</v>
      </c>
      <c r="B530" s="1188" t="s">
        <v>594</v>
      </c>
      <c r="C530" s="1189"/>
      <c r="D530" s="1190"/>
      <c r="E530" s="335">
        <v>0.51</v>
      </c>
      <c r="F530" s="22" t="s">
        <v>8</v>
      </c>
      <c r="G530" s="361">
        <v>43560</v>
      </c>
      <c r="H530" s="333" t="s">
        <v>592</v>
      </c>
      <c r="I530" s="20">
        <v>1.05</v>
      </c>
      <c r="J530" s="20"/>
      <c r="K530" s="349">
        <f>+E530*G530*I530</f>
        <v>23326.380000000005</v>
      </c>
      <c r="L530" s="22" t="s">
        <v>34</v>
      </c>
      <c r="M530" s="1146"/>
      <c r="N530" s="1103"/>
      <c r="O530"/>
      <c r="P530" s="159"/>
      <c r="Q530" s="147"/>
      <c r="R530" s="149"/>
    </row>
    <row r="531" spans="1:18" ht="30" customHeight="1">
      <c r="A531" s="46"/>
      <c r="B531" s="1267"/>
      <c r="C531" s="1267"/>
      <c r="D531" s="1267"/>
      <c r="E531" s="153"/>
      <c r="F531" s="20"/>
      <c r="G531" s="20"/>
      <c r="H531" s="20"/>
      <c r="I531" s="20"/>
      <c r="J531" s="20" t="s">
        <v>379</v>
      </c>
      <c r="K531" s="353">
        <f>SUM(K528:K530)</f>
        <v>43908.48000000001</v>
      </c>
      <c r="L531" s="22" t="s">
        <v>34</v>
      </c>
      <c r="M531" s="1146"/>
      <c r="N531" s="1103"/>
      <c r="O531"/>
      <c r="P531" s="159"/>
      <c r="Q531" s="147"/>
      <c r="R531" s="149"/>
    </row>
    <row r="532" spans="1:18" ht="30" customHeight="1">
      <c r="A532" s="45"/>
      <c r="B532" s="189"/>
      <c r="C532" s="189"/>
      <c r="D532" s="189"/>
      <c r="E532" s="153"/>
      <c r="F532" s="1174" t="s">
        <v>308</v>
      </c>
      <c r="G532" s="1208" t="s">
        <v>309</v>
      </c>
      <c r="H532" s="1208"/>
      <c r="I532" s="1208"/>
      <c r="J532" s="1208"/>
      <c r="K532" s="123">
        <v>1.06</v>
      </c>
      <c r="L532" s="10"/>
      <c r="M532" s="1146"/>
      <c r="N532" s="1103"/>
      <c r="O532"/>
      <c r="P532" s="159"/>
      <c r="Q532" s="147"/>
      <c r="R532" s="149"/>
    </row>
    <row r="533" spans="1:18" ht="30" customHeight="1">
      <c r="A533" s="45"/>
      <c r="B533" s="189"/>
      <c r="C533" s="189"/>
      <c r="D533" s="189"/>
      <c r="E533" s="153"/>
      <c r="F533" s="1175"/>
      <c r="G533" s="1209" t="s">
        <v>310</v>
      </c>
      <c r="H533" s="1209"/>
      <c r="I533" s="1209"/>
      <c r="J533" s="1209"/>
      <c r="K533" s="123">
        <v>1.07</v>
      </c>
      <c r="L533" s="10"/>
      <c r="M533" s="1146"/>
      <c r="N533" s="1103"/>
      <c r="O533"/>
      <c r="P533" s="159"/>
      <c r="Q533" s="147"/>
      <c r="R533" s="149"/>
    </row>
    <row r="534" spans="1:18" ht="30" customHeight="1">
      <c r="A534" s="46"/>
      <c r="B534" s="45"/>
      <c r="C534" s="46"/>
      <c r="D534" s="46"/>
      <c r="E534" s="18"/>
      <c r="F534" s="18"/>
      <c r="G534" s="18"/>
      <c r="H534" s="18"/>
      <c r="I534" s="18"/>
      <c r="J534" s="20" t="s">
        <v>289</v>
      </c>
      <c r="K534" s="23">
        <f>+K531*K532/K533</f>
        <v>43498.120373831785</v>
      </c>
      <c r="L534" s="22" t="s">
        <v>34</v>
      </c>
      <c r="M534" s="1146"/>
      <c r="N534" s="1103"/>
      <c r="O534"/>
      <c r="P534" s="159"/>
      <c r="Q534" s="147"/>
      <c r="R534" s="149"/>
    </row>
    <row r="535" spans="1:18" ht="30" customHeight="1" thickBot="1">
      <c r="A535" s="46"/>
      <c r="B535" s="45"/>
      <c r="C535" s="46"/>
      <c r="D535" s="46"/>
      <c r="E535" s="18"/>
      <c r="F535" s="18"/>
      <c r="G535" s="160" t="s">
        <v>312</v>
      </c>
      <c r="H535" s="18"/>
      <c r="I535" s="18"/>
      <c r="J535" s="139">
        <f>VLOOKUP(B526,'Mil Cost Premiums for RUCs'!$A$4:$R$266,18,FALSE)</f>
        <v>1.0209999999999999</v>
      </c>
      <c r="K535" s="23">
        <f>+K534*J535</f>
        <v>44411.580901682246</v>
      </c>
      <c r="L535" s="20" t="s">
        <v>34</v>
      </c>
      <c r="M535" s="1146"/>
      <c r="N535" s="1103"/>
      <c r="O535"/>
      <c r="P535" s="159"/>
      <c r="Q535" s="147"/>
      <c r="R535" s="149"/>
    </row>
    <row r="536" spans="1:18" ht="30" customHeight="1" thickBot="1">
      <c r="A536" s="1165"/>
      <c r="B536" s="1166"/>
      <c r="C536" s="1166"/>
      <c r="D536" s="1166"/>
      <c r="E536" s="1166"/>
      <c r="F536" s="1166"/>
      <c r="G536" s="1166"/>
      <c r="H536" s="1166"/>
      <c r="I536" s="1166"/>
      <c r="J536" s="1166"/>
      <c r="K536" s="1166"/>
      <c r="L536" s="1167"/>
      <c r="M536" s="1146"/>
      <c r="N536" s="1103"/>
      <c r="O536"/>
      <c r="P536" s="159"/>
      <c r="Q536" s="147"/>
      <c r="R536" s="149"/>
    </row>
    <row r="537" spans="1:18" ht="75" customHeight="1">
      <c r="A537" s="81" t="s">
        <v>280</v>
      </c>
      <c r="B537" s="82">
        <v>1750</v>
      </c>
      <c r="C537" s="1197" t="s">
        <v>595</v>
      </c>
      <c r="D537" s="1198"/>
      <c r="E537" s="74" t="s">
        <v>282</v>
      </c>
      <c r="F537" s="75" t="s">
        <v>37</v>
      </c>
      <c r="G537" s="181" t="s">
        <v>596</v>
      </c>
      <c r="H537" s="145">
        <v>32</v>
      </c>
      <c r="I537" s="74" t="s">
        <v>283</v>
      </c>
      <c r="J537" s="1199" t="s">
        <v>2612</v>
      </c>
      <c r="K537" s="1199"/>
      <c r="L537" s="1200"/>
      <c r="M537" s="1146"/>
      <c r="N537" s="1103"/>
      <c r="O537"/>
      <c r="P537" s="159"/>
      <c r="Q537" s="147"/>
      <c r="R537" s="149"/>
    </row>
    <row r="538" spans="1:18" ht="30" customHeight="1">
      <c r="A538" s="35" t="s">
        <v>597</v>
      </c>
      <c r="B538" s="1300" t="s">
        <v>330</v>
      </c>
      <c r="C538" s="1301"/>
      <c r="D538" s="1302"/>
      <c r="E538" s="362" t="s">
        <v>295</v>
      </c>
      <c r="F538" s="362" t="s">
        <v>331</v>
      </c>
      <c r="G538" s="1356" t="s">
        <v>332</v>
      </c>
      <c r="H538" s="1357"/>
      <c r="I538" s="151" t="s">
        <v>305</v>
      </c>
      <c r="J538" s="285" t="s">
        <v>308</v>
      </c>
      <c r="K538" s="1312" t="s">
        <v>297</v>
      </c>
      <c r="L538" s="1313"/>
      <c r="M538" s="1146"/>
      <c r="N538" s="987"/>
      <c r="O538" s="987"/>
      <c r="P538" s="159"/>
      <c r="Q538" s="147"/>
      <c r="R538" s="149"/>
    </row>
    <row r="539" spans="1:18" ht="30" customHeight="1">
      <c r="A539" s="45" t="s">
        <v>538</v>
      </c>
      <c r="B539" s="1176" t="s">
        <v>598</v>
      </c>
      <c r="C539" s="1177"/>
      <c r="D539" s="1178"/>
      <c r="E539" s="354">
        <f>+P891</f>
        <v>9.15</v>
      </c>
      <c r="F539" s="20" t="s">
        <v>8</v>
      </c>
      <c r="G539" s="363">
        <f>7*62</f>
        <v>434</v>
      </c>
      <c r="H539" s="252" t="s">
        <v>599</v>
      </c>
      <c r="I539" s="156">
        <f>+R891</f>
        <v>1.05</v>
      </c>
      <c r="J539" s="156">
        <f>+S891</f>
        <v>0.99065420560747663</v>
      </c>
      <c r="K539" s="213">
        <f>+E539*G539*I539*J539</f>
        <v>4130.6862616822436</v>
      </c>
      <c r="L539" s="45" t="s">
        <v>37</v>
      </c>
      <c r="M539" s="1146"/>
      <c r="N539" s="987"/>
      <c r="O539" s="987"/>
      <c r="P539" s="159"/>
      <c r="Q539" s="147"/>
      <c r="R539" s="149"/>
    </row>
    <row r="540" spans="1:18" ht="30" customHeight="1">
      <c r="A540" s="45" t="s">
        <v>600</v>
      </c>
      <c r="B540" s="1176" t="s">
        <v>601</v>
      </c>
      <c r="C540" s="1177"/>
      <c r="D540" s="1178"/>
      <c r="E540" s="354">
        <f>+(339+540)/2</f>
        <v>439.5</v>
      </c>
      <c r="F540" s="317" t="s">
        <v>10</v>
      </c>
      <c r="G540" s="363">
        <v>7</v>
      </c>
      <c r="H540" s="252" t="s">
        <v>602</v>
      </c>
      <c r="I540" s="156">
        <f>+R895</f>
        <v>1.07</v>
      </c>
      <c r="J540" s="156">
        <f>+S895</f>
        <v>0.99065420560747663</v>
      </c>
      <c r="K540" s="213">
        <f>+E540*G540*I540*J540</f>
        <v>3261.09</v>
      </c>
      <c r="L540" s="45" t="s">
        <v>37</v>
      </c>
      <c r="M540" s="1146"/>
      <c r="N540" s="987"/>
      <c r="O540" s="987"/>
      <c r="P540" s="159"/>
      <c r="Q540" s="147"/>
      <c r="R540" s="149"/>
    </row>
    <row r="541" spans="1:18" ht="30" customHeight="1">
      <c r="A541" s="45" t="s">
        <v>600</v>
      </c>
      <c r="B541" s="1176" t="s">
        <v>603</v>
      </c>
      <c r="C541" s="1177"/>
      <c r="D541" s="1178"/>
      <c r="E541" s="354">
        <f>P897</f>
        <v>316</v>
      </c>
      <c r="F541" s="317" t="s">
        <v>10</v>
      </c>
      <c r="G541" s="363">
        <v>7</v>
      </c>
      <c r="H541" s="252" t="s">
        <v>602</v>
      </c>
      <c r="I541" s="156">
        <f>+R897</f>
        <v>1.07</v>
      </c>
      <c r="J541" s="156">
        <f>+S897</f>
        <v>0.99065420560747663</v>
      </c>
      <c r="K541" s="213">
        <f>+E541*G541*I541*J541</f>
        <v>2344.7200000000003</v>
      </c>
      <c r="L541" s="45" t="s">
        <v>37</v>
      </c>
      <c r="M541" s="1146"/>
      <c r="N541" s="987"/>
      <c r="O541" s="987"/>
      <c r="P541" s="159"/>
      <c r="Q541" s="147"/>
      <c r="R541" s="149"/>
    </row>
    <row r="542" spans="1:18" ht="30" customHeight="1">
      <c r="A542" s="45" t="s">
        <v>604</v>
      </c>
      <c r="B542" s="1176" t="s">
        <v>605</v>
      </c>
      <c r="C542" s="1177"/>
      <c r="D542" s="1178"/>
      <c r="E542" s="354">
        <f>P900</f>
        <v>137.85</v>
      </c>
      <c r="F542" s="317" t="s">
        <v>10</v>
      </c>
      <c r="G542" s="363">
        <f>4*7</f>
        <v>28</v>
      </c>
      <c r="H542" s="252" t="s">
        <v>602</v>
      </c>
      <c r="I542" s="156">
        <f>+R900</f>
        <v>1.07</v>
      </c>
      <c r="J542" s="156">
        <f>+S900</f>
        <v>0.99065420560747663</v>
      </c>
      <c r="K542" s="213">
        <f>+E542*G542*I542*J542</f>
        <v>4091.3879999999999</v>
      </c>
      <c r="L542" s="45" t="s">
        <v>37</v>
      </c>
      <c r="M542" s="1146"/>
      <c r="N542" s="987"/>
      <c r="O542" s="987"/>
      <c r="P542" s="159"/>
      <c r="Q542" s="147"/>
      <c r="R542" s="149"/>
    </row>
    <row r="543" spans="1:18" ht="30" customHeight="1">
      <c r="A543" s="45" t="s">
        <v>606</v>
      </c>
      <c r="B543" s="1188" t="s">
        <v>607</v>
      </c>
      <c r="C543" s="1189"/>
      <c r="D543" s="1190"/>
      <c r="E543" s="354">
        <f>P901</f>
        <v>17.110000000000003</v>
      </c>
      <c r="F543" s="262" t="s">
        <v>6</v>
      </c>
      <c r="G543" s="350">
        <v>2653</v>
      </c>
      <c r="H543" s="259" t="s">
        <v>608</v>
      </c>
      <c r="I543" s="156">
        <f>+R901</f>
        <v>1.07</v>
      </c>
      <c r="J543" s="156">
        <f>+S901</f>
        <v>0.99065420560747663</v>
      </c>
      <c r="K543" s="213">
        <f>+E543*G543*I543*J543</f>
        <v>48116.399800000014</v>
      </c>
      <c r="L543" s="45" t="s">
        <v>37</v>
      </c>
      <c r="M543" s="1146"/>
      <c r="N543" s="987"/>
      <c r="O543" s="987"/>
      <c r="P543" s="159"/>
      <c r="Q543" s="147"/>
      <c r="R543" s="149"/>
    </row>
    <row r="544" spans="1:18" ht="30" customHeight="1">
      <c r="A544" s="45" t="s">
        <v>342</v>
      </c>
      <c r="B544" s="1188" t="s">
        <v>609</v>
      </c>
      <c r="C544" s="1189"/>
      <c r="D544" s="1190"/>
      <c r="E544" s="354">
        <f>+P905</f>
        <v>436.88</v>
      </c>
      <c r="F544" s="262" t="s">
        <v>10</v>
      </c>
      <c r="G544" s="363"/>
      <c r="H544" s="259"/>
      <c r="I544" s="156">
        <v>1.04</v>
      </c>
      <c r="J544" s="156">
        <v>1.04</v>
      </c>
      <c r="K544" s="213">
        <f>+E544*J544*I544</f>
        <v>472.52940800000005</v>
      </c>
      <c r="L544" s="45" t="s">
        <v>37</v>
      </c>
      <c r="M544" s="1146"/>
      <c r="N544" s="1103"/>
      <c r="O544"/>
      <c r="P544" s="159"/>
      <c r="Q544" s="147"/>
      <c r="R544" s="149"/>
    </row>
    <row r="545" spans="1:21" ht="30" customHeight="1">
      <c r="A545" s="20">
        <v>93410</v>
      </c>
      <c r="B545" s="1188" t="s">
        <v>610</v>
      </c>
      <c r="C545" s="1189"/>
      <c r="D545" s="1190"/>
      <c r="E545" s="354">
        <f>+P910</f>
        <v>8.1999999999999993</v>
      </c>
      <c r="F545" s="262" t="s">
        <v>285</v>
      </c>
      <c r="G545" s="394">
        <v>213.375</v>
      </c>
      <c r="H545" s="259" t="s">
        <v>611</v>
      </c>
      <c r="I545" s="366">
        <f>+R910</f>
        <v>0.94232233454704462</v>
      </c>
      <c r="J545" s="156"/>
      <c r="K545" s="153">
        <f>+E545*G545*I545</f>
        <v>1648.7578306986002</v>
      </c>
      <c r="L545" s="45" t="s">
        <v>37</v>
      </c>
      <c r="M545" s="1146"/>
      <c r="N545" s="1103"/>
      <c r="O545"/>
      <c r="P545" s="159"/>
      <c r="Q545" s="147"/>
      <c r="R545" s="149"/>
    </row>
    <row r="546" spans="1:21" ht="30" customHeight="1">
      <c r="A546" s="20">
        <v>93210</v>
      </c>
      <c r="B546" s="1188" t="s">
        <v>612</v>
      </c>
      <c r="C546" s="1189"/>
      <c r="D546" s="1190"/>
      <c r="E546" s="354">
        <v>45.8</v>
      </c>
      <c r="F546" s="262" t="s">
        <v>285</v>
      </c>
      <c r="G546" s="394">
        <v>12.78125</v>
      </c>
      <c r="H546" s="259" t="s">
        <v>611</v>
      </c>
      <c r="I546" s="366">
        <f>+R912</f>
        <v>0.94232233454704462</v>
      </c>
      <c r="J546" s="156"/>
      <c r="K546" s="153">
        <f>+E546*G546*I546</f>
        <v>551.61782610006708</v>
      </c>
      <c r="L546" s="45" t="s">
        <v>37</v>
      </c>
      <c r="M546" s="1146"/>
      <c r="N546" s="1103"/>
      <c r="O546"/>
      <c r="P546" s="159"/>
      <c r="Q546" s="147"/>
      <c r="R546" s="149"/>
    </row>
    <row r="547" spans="1:21" ht="30" customHeight="1">
      <c r="A547" s="20"/>
      <c r="B547" s="1307"/>
      <c r="C547" s="1307"/>
      <c r="D547" s="1307"/>
      <c r="E547" s="367"/>
      <c r="F547" s="45"/>
      <c r="G547" s="368"/>
      <c r="H547" s="264"/>
      <c r="I547" s="45"/>
      <c r="J547" s="45" t="s">
        <v>379</v>
      </c>
      <c r="K547" s="213">
        <f>SUM(K539:K546)</f>
        <v>64617.189126480931</v>
      </c>
      <c r="L547" s="45" t="s">
        <v>37</v>
      </c>
      <c r="M547" s="1146"/>
      <c r="N547" s="1103"/>
      <c r="O547"/>
      <c r="P547" s="159"/>
      <c r="Q547" s="147"/>
      <c r="R547" s="149"/>
    </row>
    <row r="548" spans="1:21" ht="30" customHeight="1">
      <c r="A548" s="45"/>
      <c r="B548" s="189"/>
      <c r="C548" s="189"/>
      <c r="D548" s="189"/>
      <c r="E548" s="46"/>
      <c r="F548" s="46"/>
      <c r="G548" s="46"/>
      <c r="H548" s="46"/>
      <c r="I548" s="46"/>
      <c r="J548" s="45" t="s">
        <v>289</v>
      </c>
      <c r="K548" s="21">
        <f>+K547</f>
        <v>64617.189126480931</v>
      </c>
      <c r="L548" s="45" t="s">
        <v>37</v>
      </c>
      <c r="M548" s="1146"/>
      <c r="P548" s="34"/>
      <c r="Q548" s="34"/>
      <c r="R548" s="34"/>
      <c r="S548" s="44"/>
      <c r="T548" s="44"/>
      <c r="U548" s="34"/>
    </row>
    <row r="549" spans="1:21" s="38" customFormat="1" ht="30" customHeight="1" thickBot="1">
      <c r="A549" s="45"/>
      <c r="B549" s="45"/>
      <c r="C549" s="46"/>
      <c r="D549" s="46"/>
      <c r="E549" s="46"/>
      <c r="F549" s="46"/>
      <c r="G549" s="176" t="s">
        <v>312</v>
      </c>
      <c r="H549" s="46"/>
      <c r="I549" s="46"/>
      <c r="J549" s="139">
        <f>VLOOKUP(B537,'Mil Cost Premiums for RUCs'!$A$4:$R$266,18,FALSE)</f>
        <v>1.0485669999999998</v>
      </c>
      <c r="K549" s="21">
        <f>+K548*J549</f>
        <v>67755.452150786718</v>
      </c>
      <c r="L549" s="45" t="s">
        <v>37</v>
      </c>
      <c r="M549" s="1146"/>
      <c r="N549" s="193"/>
      <c r="O549" s="1119"/>
      <c r="P549" s="39"/>
      <c r="Q549" s="39"/>
      <c r="R549" s="39"/>
      <c r="S549" s="84"/>
      <c r="T549" s="84"/>
      <c r="U549" s="39"/>
    </row>
    <row r="550" spans="1:21" s="32" customFormat="1" ht="30" customHeight="1" thickBot="1">
      <c r="A550" s="1165"/>
      <c r="B550" s="1166"/>
      <c r="C550" s="1166"/>
      <c r="D550" s="1166"/>
      <c r="E550" s="1166"/>
      <c r="F550" s="1166"/>
      <c r="G550" s="1166"/>
      <c r="H550" s="1166"/>
      <c r="I550" s="1166"/>
      <c r="J550" s="1166"/>
      <c r="K550" s="1166"/>
      <c r="L550" s="1167"/>
      <c r="M550" s="1146"/>
      <c r="N550" s="125"/>
      <c r="O550" s="33"/>
    </row>
    <row r="551" spans="1:21" s="32" customFormat="1" ht="75" customHeight="1">
      <c r="A551" s="27" t="s">
        <v>280</v>
      </c>
      <c r="B551" s="28">
        <v>1751</v>
      </c>
      <c r="C551" s="1393" t="s">
        <v>613</v>
      </c>
      <c r="D551" s="1394"/>
      <c r="E551" s="30" t="s">
        <v>282</v>
      </c>
      <c r="F551" s="31" t="s">
        <v>37</v>
      </c>
      <c r="G551" s="70" t="s">
        <v>614</v>
      </c>
      <c r="H551" s="186">
        <v>32</v>
      </c>
      <c r="I551" s="30" t="s">
        <v>283</v>
      </c>
      <c r="J551" s="1199" t="s">
        <v>2611</v>
      </c>
      <c r="K551" s="1199"/>
      <c r="L551" s="1200"/>
      <c r="M551" s="1146"/>
      <c r="N551" s="125"/>
      <c r="O551" s="33"/>
    </row>
    <row r="552" spans="1:21" s="32" customFormat="1" ht="30" customHeight="1">
      <c r="A552" s="35" t="s">
        <v>597</v>
      </c>
      <c r="B552" s="1300" t="s">
        <v>330</v>
      </c>
      <c r="C552" s="1301"/>
      <c r="D552" s="1302"/>
      <c r="E552" s="362" t="s">
        <v>295</v>
      </c>
      <c r="F552" s="362" t="s">
        <v>331</v>
      </c>
      <c r="G552" s="1356" t="s">
        <v>332</v>
      </c>
      <c r="H552" s="1357"/>
      <c r="I552" s="151" t="s">
        <v>305</v>
      </c>
      <c r="J552" s="285" t="s">
        <v>308</v>
      </c>
      <c r="K552" s="1312" t="s">
        <v>297</v>
      </c>
      <c r="L552" s="1313"/>
      <c r="M552" s="1146"/>
      <c r="N552" s="125"/>
      <c r="O552" s="33"/>
    </row>
    <row r="553" spans="1:21" s="32" customFormat="1" ht="30" customHeight="1">
      <c r="A553" s="45" t="s">
        <v>342</v>
      </c>
      <c r="B553" s="1307" t="s">
        <v>615</v>
      </c>
      <c r="C553" s="1307"/>
      <c r="D553" s="1307"/>
      <c r="E553" s="354">
        <f>+P905</f>
        <v>436.88</v>
      </c>
      <c r="F553" s="262" t="s">
        <v>10</v>
      </c>
      <c r="G553" s="365"/>
      <c r="H553" s="259"/>
      <c r="I553" s="156">
        <f>+R890</f>
        <v>1.05</v>
      </c>
      <c r="J553" s="156">
        <f>+S890</f>
        <v>0.99065420560747663</v>
      </c>
      <c r="K553" s="213">
        <f>+E553*J553*I553</f>
        <v>454.43685981308414</v>
      </c>
      <c r="L553" s="45" t="s">
        <v>37</v>
      </c>
      <c r="M553" s="1146"/>
      <c r="N553" s="125"/>
      <c r="O553" s="33"/>
    </row>
    <row r="554" spans="1:21" s="32" customFormat="1" ht="30" customHeight="1">
      <c r="A554" s="45" t="s">
        <v>480</v>
      </c>
      <c r="B554" s="1224" t="s">
        <v>617</v>
      </c>
      <c r="C554" s="1224"/>
      <c r="D554" s="1224"/>
      <c r="E554" s="241">
        <f>+P906</f>
        <v>19.05</v>
      </c>
      <c r="F554" s="262" t="s">
        <v>10</v>
      </c>
      <c r="G554" s="365">
        <v>4</v>
      </c>
      <c r="H554" s="259" t="s">
        <v>618</v>
      </c>
      <c r="I554" s="156">
        <f>+R906</f>
        <v>1.07</v>
      </c>
      <c r="J554" s="156">
        <f>+S906</f>
        <v>0.99065420560747663</v>
      </c>
      <c r="K554" s="213">
        <f>+E554*G554*I554*J554</f>
        <v>80.772000000000006</v>
      </c>
      <c r="L554" s="45" t="s">
        <v>37</v>
      </c>
      <c r="M554" s="1146"/>
      <c r="N554" s="125"/>
      <c r="O554" s="33"/>
    </row>
    <row r="555" spans="1:21" s="32" customFormat="1" ht="30" customHeight="1">
      <c r="A555" s="45" t="s">
        <v>606</v>
      </c>
      <c r="B555" s="1307" t="s">
        <v>622</v>
      </c>
      <c r="C555" s="1307"/>
      <c r="D555" s="1307"/>
      <c r="E555" s="354">
        <f>+P901</f>
        <v>17.110000000000003</v>
      </c>
      <c r="F555" s="262" t="s">
        <v>6</v>
      </c>
      <c r="G555" s="365">
        <v>224</v>
      </c>
      <c r="H555" s="259" t="s">
        <v>608</v>
      </c>
      <c r="I555" s="156">
        <f>+R901</f>
        <v>1.07</v>
      </c>
      <c r="J555" s="156">
        <f>+S901</f>
        <v>0.99065420560747663</v>
      </c>
      <c r="K555" s="213">
        <f>+E555*G555*I555*J555</f>
        <v>4062.5984000000008</v>
      </c>
      <c r="L555" s="45" t="s">
        <v>37</v>
      </c>
      <c r="M555" s="1146"/>
      <c r="N555" s="125"/>
      <c r="O555" s="33"/>
    </row>
    <row r="556" spans="1:21" s="32" customFormat="1" ht="30" customHeight="1">
      <c r="A556" s="45">
        <v>93410</v>
      </c>
      <c r="B556" s="1307" t="s">
        <v>623</v>
      </c>
      <c r="C556" s="1307"/>
      <c r="D556" s="1307"/>
      <c r="E556" s="354">
        <f>+P910</f>
        <v>8.1999999999999993</v>
      </c>
      <c r="F556" s="262" t="s">
        <v>285</v>
      </c>
      <c r="G556" s="380">
        <v>60.5</v>
      </c>
      <c r="H556" s="259" t="s">
        <v>611</v>
      </c>
      <c r="I556" s="366">
        <f>+R910</f>
        <v>0.94232233454704462</v>
      </c>
      <c r="J556" s="20"/>
      <c r="K556" s="153">
        <f>+E556*G556*I556</f>
        <v>467.4861101687888</v>
      </c>
      <c r="L556" s="45" t="s">
        <v>37</v>
      </c>
      <c r="M556" s="1146"/>
      <c r="N556" s="125"/>
      <c r="O556" s="33"/>
    </row>
    <row r="557" spans="1:21" s="32" customFormat="1" ht="30" customHeight="1">
      <c r="A557" s="45">
        <v>93210</v>
      </c>
      <c r="B557" s="1307" t="s">
        <v>626</v>
      </c>
      <c r="C557" s="1307"/>
      <c r="D557" s="1307"/>
      <c r="E557" s="354">
        <f>+P912</f>
        <v>45.8</v>
      </c>
      <c r="F557" s="262" t="s">
        <v>285</v>
      </c>
      <c r="G557" s="380">
        <v>12.09375</v>
      </c>
      <c r="H557" s="259" t="s">
        <v>611</v>
      </c>
      <c r="I557" s="366">
        <f>+R912</f>
        <v>0.94232233454704462</v>
      </c>
      <c r="J557" s="20"/>
      <c r="K557" s="153">
        <f>+E557*G557*I557</f>
        <v>521.94645159101708</v>
      </c>
      <c r="L557" s="45" t="s">
        <v>37</v>
      </c>
      <c r="M557" s="1146"/>
      <c r="N557" s="125"/>
      <c r="O557" s="33"/>
    </row>
    <row r="558" spans="1:21" s="32" customFormat="1" ht="30" customHeight="1">
      <c r="A558" s="45"/>
      <c r="B558" s="1307"/>
      <c r="C558" s="1307"/>
      <c r="D558" s="1307"/>
      <c r="E558" s="213"/>
      <c r="F558" s="45"/>
      <c r="G558" s="382"/>
      <c r="H558" s="264"/>
      <c r="I558" s="383"/>
      <c r="J558" s="20" t="s">
        <v>379</v>
      </c>
      <c r="K558" s="213">
        <f>SUM(K553:K557)</f>
        <v>5587.2398215728899</v>
      </c>
      <c r="L558" s="45" t="s">
        <v>37</v>
      </c>
      <c r="M558" s="1146"/>
      <c r="N558" s="125"/>
      <c r="O558" s="33"/>
    </row>
    <row r="559" spans="1:21" s="32" customFormat="1" ht="30" customHeight="1" thickBot="1">
      <c r="A559" s="45"/>
      <c r="B559" s="45"/>
      <c r="C559" s="46"/>
      <c r="D559" s="46"/>
      <c r="E559" s="46"/>
      <c r="F559" s="46"/>
      <c r="G559" s="176" t="s">
        <v>312</v>
      </c>
      <c r="H559" s="46"/>
      <c r="I559" s="18"/>
      <c r="J559" s="139">
        <f>VLOOKUP(B551,'Mil Cost Premiums for RUCs'!$A$4:$R$266,18,FALSE)</f>
        <v>1.0485669999999998</v>
      </c>
      <c r="K559" s="21">
        <f>+K558*J559</f>
        <v>5858.5952979872191</v>
      </c>
      <c r="L559" s="45" t="s">
        <v>37</v>
      </c>
      <c r="M559" s="1146"/>
      <c r="N559" s="125"/>
      <c r="O559" s="33"/>
    </row>
    <row r="560" spans="1:21" s="32" customFormat="1" ht="30" customHeight="1" thickBot="1">
      <c r="A560" s="1165"/>
      <c r="B560" s="1166"/>
      <c r="C560" s="1166"/>
      <c r="D560" s="1166"/>
      <c r="E560" s="1166"/>
      <c r="F560" s="1166"/>
      <c r="G560" s="1166"/>
      <c r="H560" s="1166"/>
      <c r="I560" s="1166"/>
      <c r="J560" s="1166"/>
      <c r="K560" s="1166"/>
      <c r="L560" s="1167"/>
      <c r="M560" s="1146"/>
      <c r="N560" s="125"/>
      <c r="O560" s="33"/>
    </row>
    <row r="561" spans="1:21" s="32" customFormat="1" ht="75" customHeight="1">
      <c r="A561" s="27" t="s">
        <v>280</v>
      </c>
      <c r="B561" s="28">
        <v>1752</v>
      </c>
      <c r="C561" s="1393" t="s">
        <v>631</v>
      </c>
      <c r="D561" s="1394"/>
      <c r="E561" s="30" t="s">
        <v>282</v>
      </c>
      <c r="F561" s="31" t="s">
        <v>37</v>
      </c>
      <c r="G561" s="70" t="s">
        <v>632</v>
      </c>
      <c r="H561" s="186">
        <v>32</v>
      </c>
      <c r="I561" s="30" t="s">
        <v>283</v>
      </c>
      <c r="J561" s="1199" t="s">
        <v>2611</v>
      </c>
      <c r="K561" s="1199"/>
      <c r="L561" s="1200"/>
      <c r="M561" s="1146"/>
      <c r="N561" s="125"/>
      <c r="O561" s="33"/>
    </row>
    <row r="562" spans="1:21" s="32" customFormat="1" ht="30" customHeight="1">
      <c r="A562" s="35" t="s">
        <v>597</v>
      </c>
      <c r="B562" s="1300" t="s">
        <v>330</v>
      </c>
      <c r="C562" s="1301"/>
      <c r="D562" s="1302"/>
      <c r="E562" s="362" t="s">
        <v>295</v>
      </c>
      <c r="F562" s="362" t="s">
        <v>331</v>
      </c>
      <c r="G562" s="1356" t="s">
        <v>332</v>
      </c>
      <c r="H562" s="1357"/>
      <c r="I562" s="77" t="s">
        <v>305</v>
      </c>
      <c r="J562" s="285" t="s">
        <v>308</v>
      </c>
      <c r="K562" s="1312" t="s">
        <v>297</v>
      </c>
      <c r="L562" s="1313"/>
      <c r="M562" s="1146"/>
      <c r="N562" s="952"/>
      <c r="O562" s="33"/>
    </row>
    <row r="563" spans="1:21" s="32" customFormat="1" ht="30" customHeight="1">
      <c r="A563" s="45" t="s">
        <v>538</v>
      </c>
      <c r="B563" s="1188" t="s">
        <v>634</v>
      </c>
      <c r="C563" s="1189"/>
      <c r="D563" s="1190"/>
      <c r="E563" s="354">
        <f>+P891</f>
        <v>9.15</v>
      </c>
      <c r="F563" s="45" t="s">
        <v>8</v>
      </c>
      <c r="G563" s="365">
        <f>3*62</f>
        <v>186</v>
      </c>
      <c r="H563" s="259" t="s">
        <v>599</v>
      </c>
      <c r="I563" s="326">
        <f>+R891</f>
        <v>1.05</v>
      </c>
      <c r="J563" s="326">
        <f>+S891</f>
        <v>0.99065420560747663</v>
      </c>
      <c r="K563" s="213">
        <f>+E563*G563*I563*J563</f>
        <v>1770.2941121495328</v>
      </c>
      <c r="L563" s="45" t="s">
        <v>37</v>
      </c>
      <c r="M563" s="1146"/>
      <c r="N563" s="124"/>
      <c r="O563" s="33"/>
    </row>
    <row r="564" spans="1:21" s="32" customFormat="1" ht="30" customHeight="1">
      <c r="A564" s="45" t="s">
        <v>600</v>
      </c>
      <c r="B564" s="1188" t="s">
        <v>601</v>
      </c>
      <c r="C564" s="1189"/>
      <c r="D564" s="1190"/>
      <c r="E564" s="354">
        <f>+P895</f>
        <v>439.5</v>
      </c>
      <c r="F564" s="262" t="s">
        <v>10</v>
      </c>
      <c r="G564" s="365">
        <v>3</v>
      </c>
      <c r="H564" s="259" t="s">
        <v>602</v>
      </c>
      <c r="I564" s="326">
        <f>+R895</f>
        <v>1.07</v>
      </c>
      <c r="J564" s="326">
        <f>+S895</f>
        <v>0.99065420560747663</v>
      </c>
      <c r="K564" s="213">
        <f>+E564*G564*I564*J564</f>
        <v>1397.6100000000001</v>
      </c>
      <c r="L564" s="45" t="s">
        <v>37</v>
      </c>
      <c r="M564" s="1146"/>
      <c r="N564" s="125"/>
      <c r="O564" s="33"/>
    </row>
    <row r="565" spans="1:21" s="32" customFormat="1" ht="30" customHeight="1">
      <c r="A565" s="45" t="s">
        <v>600</v>
      </c>
      <c r="B565" s="1188" t="s">
        <v>603</v>
      </c>
      <c r="C565" s="1189"/>
      <c r="D565" s="1190"/>
      <c r="E565" s="354">
        <f>+P897</f>
        <v>316</v>
      </c>
      <c r="F565" s="262" t="s">
        <v>10</v>
      </c>
      <c r="G565" s="365">
        <v>3</v>
      </c>
      <c r="H565" s="259" t="s">
        <v>602</v>
      </c>
      <c r="I565" s="326">
        <f>+R897</f>
        <v>1.07</v>
      </c>
      <c r="J565" s="326">
        <f>+S897</f>
        <v>0.99065420560747663</v>
      </c>
      <c r="K565" s="213">
        <f>+E565*G565*I565*J565</f>
        <v>1004.88</v>
      </c>
      <c r="L565" s="45" t="s">
        <v>37</v>
      </c>
      <c r="M565" s="1146"/>
      <c r="N565" s="125"/>
      <c r="O565" s="33"/>
    </row>
    <row r="566" spans="1:21" s="32" customFormat="1" ht="30" customHeight="1">
      <c r="A566" s="45" t="s">
        <v>604</v>
      </c>
      <c r="B566" s="1188" t="s">
        <v>605</v>
      </c>
      <c r="C566" s="1189"/>
      <c r="D566" s="1190"/>
      <c r="E566" s="354">
        <f>+P900</f>
        <v>137.85</v>
      </c>
      <c r="F566" s="262" t="s">
        <v>10</v>
      </c>
      <c r="G566" s="365">
        <v>12</v>
      </c>
      <c r="H566" s="259" t="s">
        <v>602</v>
      </c>
      <c r="I566" s="326">
        <f>+R900</f>
        <v>1.07</v>
      </c>
      <c r="J566" s="326">
        <f>+S900</f>
        <v>0.99065420560747663</v>
      </c>
      <c r="K566" s="213">
        <f>+E566*G566*I566*J566</f>
        <v>1753.452</v>
      </c>
      <c r="L566" s="45" t="s">
        <v>37</v>
      </c>
      <c r="M566" s="1146"/>
      <c r="N566" s="125"/>
      <c r="O566" s="33"/>
    </row>
    <row r="567" spans="1:21" s="32" customFormat="1" ht="30" customHeight="1">
      <c r="A567" s="45" t="s">
        <v>606</v>
      </c>
      <c r="B567" s="1188" t="s">
        <v>607</v>
      </c>
      <c r="C567" s="1189"/>
      <c r="D567" s="1190"/>
      <c r="E567" s="354">
        <f>+P901</f>
        <v>17.110000000000003</v>
      </c>
      <c r="F567" s="262" t="s">
        <v>6</v>
      </c>
      <c r="G567" s="350">
        <v>2653</v>
      </c>
      <c r="H567" s="259" t="s">
        <v>608</v>
      </c>
      <c r="I567" s="326">
        <f>+R901</f>
        <v>1.07</v>
      </c>
      <c r="J567" s="326">
        <f>+S901</f>
        <v>0.99065420560747663</v>
      </c>
      <c r="K567" s="213">
        <f>+E567*G567*I567*J567</f>
        <v>48116.399800000014</v>
      </c>
      <c r="L567" s="45" t="s">
        <v>37</v>
      </c>
      <c r="M567" s="1146"/>
      <c r="N567" s="125"/>
      <c r="O567" s="33"/>
    </row>
    <row r="568" spans="1:21" ht="30" customHeight="1">
      <c r="A568" s="45" t="s">
        <v>342</v>
      </c>
      <c r="B568" s="1188" t="s">
        <v>615</v>
      </c>
      <c r="C568" s="1189"/>
      <c r="D568" s="1190"/>
      <c r="E568" s="354">
        <f>+P905</f>
        <v>436.88</v>
      </c>
      <c r="F568" s="262" t="s">
        <v>10</v>
      </c>
      <c r="G568" s="365"/>
      <c r="H568" s="259"/>
      <c r="I568" s="326">
        <f>+R890</f>
        <v>1.05</v>
      </c>
      <c r="J568" s="326">
        <f>+S890</f>
        <v>0.99065420560747663</v>
      </c>
      <c r="K568" s="213">
        <f>+E568*J568*I568</f>
        <v>454.43685981308414</v>
      </c>
      <c r="L568" s="45" t="s">
        <v>37</v>
      </c>
      <c r="M568" s="1146"/>
      <c r="N568" s="142"/>
    </row>
    <row r="569" spans="1:21" ht="30" customHeight="1">
      <c r="A569" s="45">
        <v>93410</v>
      </c>
      <c r="B569" s="1188" t="s">
        <v>637</v>
      </c>
      <c r="C569" s="1189"/>
      <c r="D569" s="1190"/>
      <c r="E569" s="354">
        <f>+P910</f>
        <v>8.1999999999999993</v>
      </c>
      <c r="F569" s="262" t="s">
        <v>285</v>
      </c>
      <c r="G569" s="394">
        <v>277.9375</v>
      </c>
      <c r="H569" s="259" t="s">
        <v>611</v>
      </c>
      <c r="I569" s="386">
        <f>+R910</f>
        <v>0.94232233454704462</v>
      </c>
      <c r="J569" s="20"/>
      <c r="K569" s="213">
        <f>+E569*G569*I569</f>
        <v>2147.6350536369873</v>
      </c>
      <c r="L569" s="45" t="s">
        <v>37</v>
      </c>
      <c r="M569" s="1146"/>
    </row>
    <row r="570" spans="1:21" ht="30" customHeight="1">
      <c r="A570" s="45">
        <v>93210</v>
      </c>
      <c r="B570" s="1188" t="s">
        <v>639</v>
      </c>
      <c r="C570" s="1189"/>
      <c r="D570" s="1190"/>
      <c r="E570" s="354">
        <f>+P912</f>
        <v>45.8</v>
      </c>
      <c r="F570" s="262" t="s">
        <v>285</v>
      </c>
      <c r="G570" s="380">
        <v>32.625</v>
      </c>
      <c r="H570" s="259" t="s">
        <v>611</v>
      </c>
      <c r="I570" s="386">
        <f>+R912</f>
        <v>0.94232233454704462</v>
      </c>
      <c r="J570" s="20"/>
      <c r="K570" s="213">
        <f>+E570*G570*I570</f>
        <v>1408.0415903385576</v>
      </c>
      <c r="L570" s="45" t="s">
        <v>37</v>
      </c>
      <c r="M570" s="1146"/>
      <c r="P570" s="34"/>
      <c r="Q570" s="34"/>
      <c r="R570" s="34"/>
      <c r="S570" s="44"/>
      <c r="T570" s="44"/>
      <c r="U570" s="34"/>
    </row>
    <row r="571" spans="1:21" s="38" customFormat="1" ht="30" customHeight="1">
      <c r="A571" s="45"/>
      <c r="B571" s="1307"/>
      <c r="C571" s="1307"/>
      <c r="D571" s="1307"/>
      <c r="E571" s="213"/>
      <c r="F571" s="45"/>
      <c r="G571" s="382"/>
      <c r="H571" s="264"/>
      <c r="I571" s="45"/>
      <c r="J571" s="45" t="s">
        <v>379</v>
      </c>
      <c r="K571" s="213">
        <f>SUM(K563:K570)</f>
        <v>58052.749415938175</v>
      </c>
      <c r="L571" s="45" t="s">
        <v>37</v>
      </c>
      <c r="M571" s="1146"/>
      <c r="N571" s="193"/>
      <c r="O571" s="1119"/>
      <c r="P571" s="39"/>
      <c r="Q571" s="39"/>
      <c r="R571" s="39"/>
      <c r="S571" s="84"/>
      <c r="T571" s="84"/>
      <c r="U571" s="39"/>
    </row>
    <row r="572" spans="1:21" s="32" customFormat="1" ht="30" customHeight="1" thickBot="1">
      <c r="A572" s="45"/>
      <c r="B572" s="45"/>
      <c r="C572" s="46"/>
      <c r="D572" s="46"/>
      <c r="E572" s="46"/>
      <c r="F572" s="46"/>
      <c r="G572" s="176" t="s">
        <v>312</v>
      </c>
      <c r="H572" s="46"/>
      <c r="I572" s="46"/>
      <c r="J572" s="139">
        <f>VLOOKUP(B561,'Mil Cost Premiums for RUCs'!$A$4:$R$266,18,FALSE)</f>
        <v>1.0485669999999998</v>
      </c>
      <c r="K572" s="21">
        <f>+K571*J572</f>
        <v>60872.197296822036</v>
      </c>
      <c r="L572" s="45" t="s">
        <v>37</v>
      </c>
      <c r="M572" s="1146"/>
      <c r="N572" s="125"/>
      <c r="O572" s="33"/>
    </row>
    <row r="573" spans="1:21" ht="30" customHeight="1" thickBot="1">
      <c r="A573" s="1165"/>
      <c r="B573" s="1166"/>
      <c r="C573" s="1166"/>
      <c r="D573" s="1166"/>
      <c r="E573" s="1166"/>
      <c r="F573" s="1166"/>
      <c r="G573" s="1166"/>
      <c r="H573" s="1166"/>
      <c r="I573" s="1166"/>
      <c r="J573" s="1166"/>
      <c r="K573" s="1166"/>
      <c r="L573" s="1167"/>
      <c r="M573" s="1146"/>
    </row>
    <row r="574" spans="1:21" ht="75" customHeight="1">
      <c r="A574" s="27" t="s">
        <v>280</v>
      </c>
      <c r="B574" s="28">
        <v>1753</v>
      </c>
      <c r="C574" s="1393" t="s">
        <v>642</v>
      </c>
      <c r="D574" s="1394"/>
      <c r="E574" s="30" t="s">
        <v>282</v>
      </c>
      <c r="F574" s="31" t="s">
        <v>37</v>
      </c>
      <c r="G574" s="70" t="s">
        <v>643</v>
      </c>
      <c r="H574" s="186">
        <v>16</v>
      </c>
      <c r="I574" s="30" t="s">
        <v>283</v>
      </c>
      <c r="J574" s="1199" t="s">
        <v>2611</v>
      </c>
      <c r="K574" s="1199"/>
      <c r="L574" s="1200"/>
      <c r="M574" s="1146"/>
    </row>
    <row r="575" spans="1:21" ht="30" customHeight="1">
      <c r="A575" s="35" t="s">
        <v>597</v>
      </c>
      <c r="B575" s="1300" t="s">
        <v>330</v>
      </c>
      <c r="C575" s="1301"/>
      <c r="D575" s="1302"/>
      <c r="E575" s="362" t="s">
        <v>295</v>
      </c>
      <c r="F575" s="362" t="s">
        <v>331</v>
      </c>
      <c r="G575" s="1356" t="s">
        <v>332</v>
      </c>
      <c r="H575" s="1357"/>
      <c r="I575" s="77" t="s">
        <v>305</v>
      </c>
      <c r="J575" s="285" t="s">
        <v>308</v>
      </c>
      <c r="K575" s="1312" t="s">
        <v>297</v>
      </c>
      <c r="L575" s="1313"/>
      <c r="M575" s="1146"/>
      <c r="P575" s="34"/>
      <c r="Q575" s="34"/>
      <c r="R575" s="34"/>
      <c r="S575" s="44"/>
      <c r="T575" s="44"/>
      <c r="U575" s="34"/>
    </row>
    <row r="576" spans="1:21" s="38" customFormat="1" ht="30" customHeight="1">
      <c r="A576" s="45" t="s">
        <v>538</v>
      </c>
      <c r="B576" s="1188" t="s">
        <v>646</v>
      </c>
      <c r="C576" s="1189"/>
      <c r="D576" s="1190"/>
      <c r="E576" s="354">
        <f>+P891</f>
        <v>9.15</v>
      </c>
      <c r="F576" s="45" t="s">
        <v>8</v>
      </c>
      <c r="G576" s="365">
        <f>7*62</f>
        <v>434</v>
      </c>
      <c r="H576" s="259" t="s">
        <v>599</v>
      </c>
      <c r="I576" s="326">
        <f>+R891</f>
        <v>1.05</v>
      </c>
      <c r="J576" s="326">
        <f>+S891</f>
        <v>0.99065420560747663</v>
      </c>
      <c r="K576" s="213">
        <f>+E576*G576*I576*J576</f>
        <v>4130.6862616822436</v>
      </c>
      <c r="L576" s="45" t="s">
        <v>37</v>
      </c>
      <c r="M576" s="1146"/>
      <c r="N576" s="193"/>
      <c r="O576" s="1119"/>
      <c r="P576" s="39"/>
      <c r="Q576" s="39"/>
      <c r="R576" s="39"/>
      <c r="S576" s="84"/>
      <c r="T576" s="84"/>
      <c r="U576" s="39"/>
    </row>
    <row r="577" spans="1:21" ht="30" customHeight="1">
      <c r="A577" s="45" t="s">
        <v>600</v>
      </c>
      <c r="B577" s="1188" t="s">
        <v>601</v>
      </c>
      <c r="C577" s="1189"/>
      <c r="D577" s="1190"/>
      <c r="E577" s="354">
        <f>+P895</f>
        <v>439.5</v>
      </c>
      <c r="F577" s="262" t="s">
        <v>10</v>
      </c>
      <c r="G577" s="363">
        <v>7</v>
      </c>
      <c r="H577" s="259" t="s">
        <v>602</v>
      </c>
      <c r="I577" s="326">
        <f>+R895</f>
        <v>1.07</v>
      </c>
      <c r="J577" s="326">
        <f>+S895</f>
        <v>0.99065420560747663</v>
      </c>
      <c r="K577" s="213">
        <f>+E577*G577*I577*J577</f>
        <v>3261.09</v>
      </c>
      <c r="L577" s="45" t="s">
        <v>37</v>
      </c>
      <c r="M577" s="1146"/>
      <c r="N577" s="964"/>
      <c r="P577" s="34"/>
      <c r="Q577" s="34"/>
      <c r="R577" s="34"/>
      <c r="S577" s="44"/>
      <c r="T577" s="44"/>
      <c r="U577" s="34"/>
    </row>
    <row r="578" spans="1:21" ht="30" customHeight="1">
      <c r="A578" s="45" t="s">
        <v>600</v>
      </c>
      <c r="B578" s="1188" t="s">
        <v>603</v>
      </c>
      <c r="C578" s="1189"/>
      <c r="D578" s="1190"/>
      <c r="E578" s="354">
        <f>+P897</f>
        <v>316</v>
      </c>
      <c r="F578" s="262" t="s">
        <v>10</v>
      </c>
      <c r="G578" s="363">
        <v>7</v>
      </c>
      <c r="H578" s="259" t="s">
        <v>602</v>
      </c>
      <c r="I578" s="326">
        <f>+R897</f>
        <v>1.07</v>
      </c>
      <c r="J578" s="326">
        <f>+S897</f>
        <v>0.99065420560747663</v>
      </c>
      <c r="K578" s="213">
        <f>+E578*G578*I578*J578</f>
        <v>2344.7200000000003</v>
      </c>
      <c r="L578" s="45" t="s">
        <v>37</v>
      </c>
      <c r="M578" s="1146"/>
      <c r="N578" s="55"/>
      <c r="P578" s="34"/>
      <c r="Q578" s="34"/>
      <c r="R578" s="34"/>
      <c r="S578" s="44"/>
      <c r="T578" s="44"/>
      <c r="U578" s="34"/>
    </row>
    <row r="579" spans="1:21" ht="30" customHeight="1">
      <c r="A579" s="45" t="s">
        <v>604</v>
      </c>
      <c r="B579" s="1188" t="s">
        <v>605</v>
      </c>
      <c r="C579" s="1189"/>
      <c r="D579" s="1190"/>
      <c r="E579" s="354">
        <f>+P900</f>
        <v>137.85</v>
      </c>
      <c r="F579" s="262" t="s">
        <v>10</v>
      </c>
      <c r="G579" s="365">
        <v>28</v>
      </c>
      <c r="H579" s="259" t="s">
        <v>602</v>
      </c>
      <c r="I579" s="326">
        <f>+R900</f>
        <v>1.07</v>
      </c>
      <c r="J579" s="326">
        <f>+S900</f>
        <v>0.99065420560747663</v>
      </c>
      <c r="K579" s="213">
        <f>+E579*G579*I579*J579</f>
        <v>4091.3879999999999</v>
      </c>
      <c r="L579" s="45" t="s">
        <v>37</v>
      </c>
      <c r="M579" s="1146"/>
      <c r="N579" s="55"/>
    </row>
    <row r="580" spans="1:21" ht="30" customHeight="1">
      <c r="A580" s="45" t="s">
        <v>606</v>
      </c>
      <c r="B580" s="1188" t="s">
        <v>650</v>
      </c>
      <c r="C580" s="1189"/>
      <c r="D580" s="1190"/>
      <c r="E580" s="354">
        <f>+P901</f>
        <v>17.110000000000003</v>
      </c>
      <c r="F580" s="262" t="s">
        <v>6</v>
      </c>
      <c r="G580" s="391">
        <f>574*7</f>
        <v>4018</v>
      </c>
      <c r="H580" s="259" t="s">
        <v>608</v>
      </c>
      <c r="I580" s="326">
        <f>+R901</f>
        <v>1.07</v>
      </c>
      <c r="J580" s="326">
        <f>+S901</f>
        <v>0.99065420560747663</v>
      </c>
      <c r="K580" s="213">
        <f>+E580*G580*I580*J580</f>
        <v>72872.858800000016</v>
      </c>
      <c r="L580" s="45" t="s">
        <v>37</v>
      </c>
      <c r="M580" s="1146"/>
      <c r="N580" s="55"/>
    </row>
    <row r="581" spans="1:21" ht="30" customHeight="1">
      <c r="A581" s="45" t="s">
        <v>342</v>
      </c>
      <c r="B581" s="1188" t="s">
        <v>615</v>
      </c>
      <c r="C581" s="1189"/>
      <c r="D581" s="1190"/>
      <c r="E581" s="354">
        <f>+P905</f>
        <v>436.88</v>
      </c>
      <c r="F581" s="262" t="s">
        <v>10</v>
      </c>
      <c r="G581" s="391"/>
      <c r="H581" s="259"/>
      <c r="I581" s="326">
        <f>+R890</f>
        <v>1.05</v>
      </c>
      <c r="J581" s="326">
        <f>+S890</f>
        <v>0.99065420560747663</v>
      </c>
      <c r="K581" s="213">
        <f>+E581*J581*I581</f>
        <v>454.43685981308414</v>
      </c>
      <c r="L581" s="45" t="s">
        <v>37</v>
      </c>
      <c r="M581" s="1146"/>
      <c r="N581" s="55"/>
      <c r="P581" s="34"/>
      <c r="Q581" s="34"/>
      <c r="R581" s="34"/>
      <c r="S581" s="44"/>
      <c r="T581" s="44"/>
      <c r="U581" s="34"/>
    </row>
    <row r="582" spans="1:21" s="38" customFormat="1" ht="30" customHeight="1">
      <c r="A582" s="45">
        <v>93410</v>
      </c>
      <c r="B582" s="1188" t="s">
        <v>652</v>
      </c>
      <c r="C582" s="1189"/>
      <c r="D582" s="1190"/>
      <c r="E582" s="354">
        <f>+P910</f>
        <v>8.1999999999999993</v>
      </c>
      <c r="F582" s="262" t="s">
        <v>285</v>
      </c>
      <c r="G582" s="380">
        <v>277.9375</v>
      </c>
      <c r="H582" s="259" t="s">
        <v>611</v>
      </c>
      <c r="I582" s="386">
        <f>+R910</f>
        <v>0.94232233454704462</v>
      </c>
      <c r="J582" s="20"/>
      <c r="K582" s="213">
        <f>+E582*G582*I582</f>
        <v>2147.6350536369873</v>
      </c>
      <c r="L582" s="45" t="s">
        <v>37</v>
      </c>
      <c r="M582" s="1146"/>
      <c r="N582" s="193"/>
      <c r="O582" s="1119"/>
      <c r="P582" s="39"/>
      <c r="Q582" s="39"/>
      <c r="R582" s="39"/>
      <c r="S582" s="84"/>
      <c r="T582" s="84"/>
      <c r="U582" s="39"/>
    </row>
    <row r="583" spans="1:21" ht="30" customHeight="1">
      <c r="A583" s="45">
        <v>93210</v>
      </c>
      <c r="B583" s="1188" t="s">
        <v>653</v>
      </c>
      <c r="C583" s="1189"/>
      <c r="D583" s="1190"/>
      <c r="E583" s="354">
        <f>+P912</f>
        <v>45.8</v>
      </c>
      <c r="F583" s="262" t="s">
        <v>285</v>
      </c>
      <c r="G583" s="380">
        <v>27.8125</v>
      </c>
      <c r="H583" s="259" t="s">
        <v>611</v>
      </c>
      <c r="I583" s="386">
        <f>+R912</f>
        <v>0.94232233454704462</v>
      </c>
      <c r="J583" s="20"/>
      <c r="K583" s="213">
        <f>+E583*G583*I583</f>
        <v>1200.3419687752073</v>
      </c>
      <c r="L583" s="45" t="s">
        <v>37</v>
      </c>
      <c r="M583" s="1146"/>
      <c r="N583" s="964"/>
      <c r="P583" s="34"/>
      <c r="Q583" s="34"/>
      <c r="R583" s="34"/>
      <c r="S583" s="44"/>
      <c r="T583" s="44"/>
      <c r="U583" s="34"/>
    </row>
    <row r="584" spans="1:21" ht="30" customHeight="1">
      <c r="A584" s="45"/>
      <c r="B584" s="1307"/>
      <c r="C584" s="1307"/>
      <c r="D584" s="1307"/>
      <c r="E584" s="213"/>
      <c r="F584" s="45"/>
      <c r="G584" s="382"/>
      <c r="H584" s="264"/>
      <c r="I584" s="20"/>
      <c r="J584" s="20" t="s">
        <v>379</v>
      </c>
      <c r="K584" s="213">
        <f>SUM(K576:K583)</f>
        <v>90503.156943907539</v>
      </c>
      <c r="L584" s="45" t="s">
        <v>37</v>
      </c>
      <c r="M584" s="1146"/>
    </row>
    <row r="585" spans="1:21" ht="30" customHeight="1" thickBot="1">
      <c r="A585" s="45"/>
      <c r="B585" s="45"/>
      <c r="C585" s="46"/>
      <c r="D585" s="46"/>
      <c r="E585" s="46"/>
      <c r="F585" s="46"/>
      <c r="G585" s="176" t="s">
        <v>312</v>
      </c>
      <c r="H585" s="46"/>
      <c r="I585" s="18"/>
      <c r="J585" s="139">
        <f>VLOOKUP(B574,'Mil Cost Premiums for RUCs'!$A$4:$R$266,18,FALSE)</f>
        <v>1.0485669999999998</v>
      </c>
      <c r="K585" s="21">
        <f>+K584*J585</f>
        <v>94898.623767202283</v>
      </c>
      <c r="L585" s="45" t="s">
        <v>37</v>
      </c>
      <c r="M585" s="1146"/>
    </row>
    <row r="586" spans="1:21" ht="30" customHeight="1" thickBot="1">
      <c r="A586" s="1165"/>
      <c r="B586" s="1166"/>
      <c r="C586" s="1166"/>
      <c r="D586" s="1166"/>
      <c r="E586" s="1166"/>
      <c r="F586" s="1166"/>
      <c r="G586" s="1166"/>
      <c r="H586" s="1166"/>
      <c r="I586" s="1166"/>
      <c r="J586" s="1166"/>
      <c r="K586" s="1166"/>
      <c r="L586" s="1167"/>
      <c r="M586" s="1146"/>
      <c r="O586"/>
    </row>
    <row r="587" spans="1:21" s="38" customFormat="1" ht="75" customHeight="1">
      <c r="A587" s="1128" t="s">
        <v>280</v>
      </c>
      <c r="B587" s="1129">
        <v>1754</v>
      </c>
      <c r="C587" s="1415" t="s">
        <v>654</v>
      </c>
      <c r="D587" s="1416"/>
      <c r="E587" s="1130" t="s">
        <v>282</v>
      </c>
      <c r="F587" s="1131" t="s">
        <v>37</v>
      </c>
      <c r="G587" s="1132" t="s">
        <v>596</v>
      </c>
      <c r="H587" s="1133">
        <v>32</v>
      </c>
      <c r="I587" s="1130" t="s">
        <v>283</v>
      </c>
      <c r="J587" s="1417" t="s">
        <v>2611</v>
      </c>
      <c r="K587" s="1418"/>
      <c r="L587" s="1419"/>
      <c r="M587" s="1146"/>
      <c r="N587" s="193"/>
    </row>
    <row r="588" spans="1:21" ht="30" customHeight="1">
      <c r="A588" s="35" t="s">
        <v>597</v>
      </c>
      <c r="B588" s="1300" t="s">
        <v>330</v>
      </c>
      <c r="C588" s="1301"/>
      <c r="D588" s="1302"/>
      <c r="E588" s="362" t="s">
        <v>295</v>
      </c>
      <c r="F588" s="362" t="s">
        <v>331</v>
      </c>
      <c r="G588" s="1356" t="s">
        <v>332</v>
      </c>
      <c r="H588" s="1357"/>
      <c r="I588" s="77" t="s">
        <v>305</v>
      </c>
      <c r="J588" s="285" t="s">
        <v>308</v>
      </c>
      <c r="K588" s="1312" t="s">
        <v>297</v>
      </c>
      <c r="L588" s="1313"/>
      <c r="M588" s="1146"/>
      <c r="O588"/>
    </row>
    <row r="589" spans="1:21" ht="30" customHeight="1">
      <c r="A589" s="45" t="s">
        <v>538</v>
      </c>
      <c r="B589" s="1188" t="s">
        <v>655</v>
      </c>
      <c r="C589" s="1189"/>
      <c r="D589" s="1190"/>
      <c r="E589" s="354">
        <f>+P891</f>
        <v>9.15</v>
      </c>
      <c r="F589" s="45" t="s">
        <v>8</v>
      </c>
      <c r="G589" s="365">
        <f>2*62</f>
        <v>124</v>
      </c>
      <c r="H589" s="259" t="s">
        <v>599</v>
      </c>
      <c r="I589" s="326">
        <f>+R891</f>
        <v>1.05</v>
      </c>
      <c r="J589" s="326">
        <f>+S891</f>
        <v>0.99065420560747663</v>
      </c>
      <c r="K589" s="213">
        <f>+E589*G589*I589*J589</f>
        <v>1180.1960747663552</v>
      </c>
      <c r="L589" s="45" t="s">
        <v>37</v>
      </c>
      <c r="M589" s="1146"/>
      <c r="O589"/>
    </row>
    <row r="590" spans="1:21" ht="30" customHeight="1">
      <c r="A590" s="45" t="s">
        <v>600</v>
      </c>
      <c r="B590" s="1188" t="s">
        <v>603</v>
      </c>
      <c r="C590" s="1189"/>
      <c r="D590" s="1190"/>
      <c r="E590" s="354">
        <f>+P897</f>
        <v>316</v>
      </c>
      <c r="F590" s="262" t="s">
        <v>10</v>
      </c>
      <c r="G590" s="365">
        <v>2</v>
      </c>
      <c r="H590" s="259" t="s">
        <v>602</v>
      </c>
      <c r="I590" s="326">
        <f>+R897</f>
        <v>1.07</v>
      </c>
      <c r="J590" s="326">
        <f>+S897</f>
        <v>0.99065420560747663</v>
      </c>
      <c r="K590" s="213">
        <f>+E590*G590*I590*J590</f>
        <v>669.92</v>
      </c>
      <c r="L590" s="45" t="s">
        <v>37</v>
      </c>
      <c r="M590" s="1146"/>
      <c r="O590"/>
    </row>
    <row r="591" spans="1:21" ht="30" customHeight="1">
      <c r="A591" s="45" t="s">
        <v>604</v>
      </c>
      <c r="B591" s="1188" t="s">
        <v>605</v>
      </c>
      <c r="C591" s="1189"/>
      <c r="D591" s="1190"/>
      <c r="E591" s="354">
        <f>+P900</f>
        <v>137.85</v>
      </c>
      <c r="F591" s="262" t="s">
        <v>10</v>
      </c>
      <c r="G591" s="365">
        <v>4</v>
      </c>
      <c r="H591" s="259" t="s">
        <v>602</v>
      </c>
      <c r="I591" s="326">
        <f>+R900</f>
        <v>1.07</v>
      </c>
      <c r="J591" s="326">
        <f>+S900</f>
        <v>0.99065420560747663</v>
      </c>
      <c r="K591" s="213">
        <f>+E591*G591*I591*J591</f>
        <v>584.48400000000004</v>
      </c>
      <c r="L591" s="45" t="s">
        <v>37</v>
      </c>
      <c r="M591" s="1146"/>
      <c r="O591"/>
    </row>
    <row r="592" spans="1:21" ht="30" customHeight="1">
      <c r="A592" s="45" t="s">
        <v>606</v>
      </c>
      <c r="B592" s="1188" t="s">
        <v>656</v>
      </c>
      <c r="C592" s="1189"/>
      <c r="D592" s="1190"/>
      <c r="E592" s="354">
        <f>+P901</f>
        <v>17.110000000000003</v>
      </c>
      <c r="F592" s="262" t="s">
        <v>6</v>
      </c>
      <c r="G592" s="365">
        <v>82</v>
      </c>
      <c r="H592" s="259" t="s">
        <v>608</v>
      </c>
      <c r="I592" s="326">
        <f>+R901</f>
        <v>1.07</v>
      </c>
      <c r="J592" s="326">
        <f>+S901</f>
        <v>0.99065420560747663</v>
      </c>
      <c r="K592" s="213">
        <f>+E592*G592*I592*J592</f>
        <v>1487.2012000000004</v>
      </c>
      <c r="L592" s="45" t="s">
        <v>37</v>
      </c>
      <c r="M592" s="1146"/>
      <c r="O592"/>
    </row>
    <row r="593" spans="1:18" ht="30" customHeight="1">
      <c r="A593" s="45" t="s">
        <v>342</v>
      </c>
      <c r="B593" s="1188" t="s">
        <v>615</v>
      </c>
      <c r="C593" s="1189"/>
      <c r="D593" s="1190"/>
      <c r="E593" s="354">
        <f>+P905</f>
        <v>436.88</v>
      </c>
      <c r="F593" s="262" t="s">
        <v>10</v>
      </c>
      <c r="G593" s="365"/>
      <c r="H593" s="259"/>
      <c r="I593" s="326">
        <f>+R890</f>
        <v>1.05</v>
      </c>
      <c r="J593" s="326">
        <f>+S890</f>
        <v>0.99065420560747663</v>
      </c>
      <c r="K593" s="213">
        <f>+E593*J593*I593</f>
        <v>454.43685981308414</v>
      </c>
      <c r="L593" s="45" t="s">
        <v>37</v>
      </c>
      <c r="M593" s="1146"/>
      <c r="N593" s="34"/>
      <c r="O593"/>
    </row>
    <row r="594" spans="1:18" s="38" customFormat="1" ht="30" customHeight="1">
      <c r="A594" s="45">
        <v>93410</v>
      </c>
      <c r="B594" s="1188" t="s">
        <v>657</v>
      </c>
      <c r="C594" s="1189"/>
      <c r="D594" s="1190"/>
      <c r="E594" s="354">
        <f>+P910</f>
        <v>8.1999999999999993</v>
      </c>
      <c r="F594" s="262" t="s">
        <v>285</v>
      </c>
      <c r="G594" s="391">
        <f>4096/32</f>
        <v>128</v>
      </c>
      <c r="H594" s="259" t="s">
        <v>611</v>
      </c>
      <c r="I594" s="386">
        <f>+R910</f>
        <v>0.94232233454704462</v>
      </c>
      <c r="J594" s="20"/>
      <c r="K594" s="213">
        <f>+E594*G594*I594</f>
        <v>989.06152234057799</v>
      </c>
      <c r="L594" s="45" t="s">
        <v>37</v>
      </c>
      <c r="M594" s="1146"/>
      <c r="N594" s="39"/>
    </row>
    <row r="595" spans="1:18" ht="30" customHeight="1">
      <c r="A595" s="45">
        <v>93210</v>
      </c>
      <c r="B595" s="1188" t="s">
        <v>649</v>
      </c>
      <c r="C595" s="1189"/>
      <c r="D595" s="1190"/>
      <c r="E595" s="354">
        <f>+P912</f>
        <v>45.8</v>
      </c>
      <c r="F595" s="262" t="s">
        <v>285</v>
      </c>
      <c r="G595" s="380">
        <v>12.78125</v>
      </c>
      <c r="H595" s="259" t="s">
        <v>611</v>
      </c>
      <c r="I595" s="386">
        <f>+R912</f>
        <v>0.94232233454704462</v>
      </c>
      <c r="J595" s="20"/>
      <c r="K595" s="213">
        <f>+E595*G595*I595</f>
        <v>551.61782610006708</v>
      </c>
      <c r="L595" s="45" t="s">
        <v>37</v>
      </c>
      <c r="M595" s="1146"/>
      <c r="N595" s="34"/>
    </row>
    <row r="596" spans="1:18" ht="30" customHeight="1">
      <c r="A596" s="45"/>
      <c r="B596" s="1307"/>
      <c r="C596" s="1307"/>
      <c r="D596" s="1307"/>
      <c r="E596" s="213"/>
      <c r="F596" s="45"/>
      <c r="G596" s="382"/>
      <c r="H596" s="264"/>
      <c r="I596" s="20"/>
      <c r="J596" s="20" t="s">
        <v>379</v>
      </c>
      <c r="K596" s="213">
        <f>SUM(K589:K595)</f>
        <v>5916.9174830200855</v>
      </c>
      <c r="L596" s="45" t="s">
        <v>37</v>
      </c>
      <c r="M596" s="1146"/>
      <c r="N596" s="34"/>
      <c r="O596"/>
    </row>
    <row r="597" spans="1:18" ht="30" customHeight="1" thickBot="1">
      <c r="A597" s="45"/>
      <c r="B597" s="45"/>
      <c r="C597" s="46"/>
      <c r="D597" s="46"/>
      <c r="E597" s="46"/>
      <c r="F597" s="46"/>
      <c r="G597" s="176" t="s">
        <v>312</v>
      </c>
      <c r="H597" s="46"/>
      <c r="I597" s="18"/>
      <c r="J597" s="139">
        <f>VLOOKUP(B587,'Mil Cost Premiums for RUCs'!$A$4:$R$266,18,FALSE)</f>
        <v>1.0485669999999998</v>
      </c>
      <c r="K597" s="21">
        <f>+K596*J597</f>
        <v>6204.2844144179207</v>
      </c>
      <c r="L597" s="45" t="s">
        <v>37</v>
      </c>
      <c r="M597" s="1146"/>
      <c r="N597" s="34"/>
      <c r="O597"/>
    </row>
    <row r="598" spans="1:18" ht="30" customHeight="1" thickBot="1">
      <c r="A598" s="1165"/>
      <c r="B598" s="1166"/>
      <c r="C598" s="1166"/>
      <c r="D598" s="1166"/>
      <c r="E598" s="1166"/>
      <c r="F598" s="1166"/>
      <c r="G598" s="1166"/>
      <c r="H598" s="1166"/>
      <c r="I598" s="1166"/>
      <c r="J598" s="1166"/>
      <c r="K598" s="1166"/>
      <c r="L598" s="1167"/>
      <c r="M598" s="1146"/>
      <c r="O598"/>
    </row>
    <row r="599" spans="1:18" ht="75" customHeight="1">
      <c r="A599" s="27" t="s">
        <v>280</v>
      </c>
      <c r="B599" s="28">
        <v>1755</v>
      </c>
      <c r="C599" s="1393" t="s">
        <v>658</v>
      </c>
      <c r="D599" s="1394"/>
      <c r="E599" s="30" t="s">
        <v>282</v>
      </c>
      <c r="F599" s="31" t="s">
        <v>37</v>
      </c>
      <c r="G599" s="70" t="s">
        <v>659</v>
      </c>
      <c r="H599" s="186">
        <v>32</v>
      </c>
      <c r="I599" s="30" t="s">
        <v>283</v>
      </c>
      <c r="J599" s="1199" t="s">
        <v>2611</v>
      </c>
      <c r="K599" s="1199"/>
      <c r="L599" s="1200"/>
      <c r="M599" s="1146"/>
      <c r="N599" s="966"/>
      <c r="O599"/>
    </row>
    <row r="600" spans="1:18" ht="30" customHeight="1">
      <c r="A600" s="35" t="s">
        <v>597</v>
      </c>
      <c r="B600" s="1300" t="s">
        <v>330</v>
      </c>
      <c r="C600" s="1301"/>
      <c r="D600" s="1302"/>
      <c r="E600" s="362" t="s">
        <v>295</v>
      </c>
      <c r="F600" s="362" t="s">
        <v>331</v>
      </c>
      <c r="G600" s="1356" t="s">
        <v>332</v>
      </c>
      <c r="H600" s="1357"/>
      <c r="I600" s="151" t="s">
        <v>305</v>
      </c>
      <c r="J600" s="285" t="s">
        <v>308</v>
      </c>
      <c r="K600" s="1312" t="s">
        <v>297</v>
      </c>
      <c r="L600" s="1313"/>
      <c r="M600" s="1146"/>
      <c r="O600"/>
    </row>
    <row r="601" spans="1:18" ht="30" customHeight="1">
      <c r="A601" s="45" t="s">
        <v>600</v>
      </c>
      <c r="B601" s="1188" t="s">
        <v>603</v>
      </c>
      <c r="C601" s="1189"/>
      <c r="D601" s="1190"/>
      <c r="E601" s="354">
        <f>+P897</f>
        <v>316</v>
      </c>
      <c r="F601" s="262" t="s">
        <v>10</v>
      </c>
      <c r="G601" s="365">
        <v>1</v>
      </c>
      <c r="H601" s="259" t="s">
        <v>602</v>
      </c>
      <c r="I601" s="326">
        <f>+R897</f>
        <v>1.07</v>
      </c>
      <c r="J601" s="326">
        <f>+S897</f>
        <v>0.99065420560747663</v>
      </c>
      <c r="K601" s="213">
        <f>+E601*G601*I601*J601</f>
        <v>334.96</v>
      </c>
      <c r="L601" s="45" t="s">
        <v>37</v>
      </c>
      <c r="M601" s="1146"/>
      <c r="O601"/>
    </row>
    <row r="602" spans="1:18" ht="30" customHeight="1">
      <c r="A602" s="45" t="s">
        <v>604</v>
      </c>
      <c r="B602" s="1188" t="s">
        <v>605</v>
      </c>
      <c r="C602" s="1189"/>
      <c r="D602" s="1190"/>
      <c r="E602" s="354">
        <f>+P900</f>
        <v>137.85</v>
      </c>
      <c r="F602" s="262" t="s">
        <v>10</v>
      </c>
      <c r="G602" s="363">
        <v>4</v>
      </c>
      <c r="H602" s="259" t="s">
        <v>602</v>
      </c>
      <c r="I602" s="326">
        <f>+R900</f>
        <v>1.07</v>
      </c>
      <c r="J602" s="326">
        <f>+S900</f>
        <v>0.99065420560747663</v>
      </c>
      <c r="K602" s="213">
        <f>+E602*G602*I602*J602</f>
        <v>584.48400000000004</v>
      </c>
      <c r="L602" s="45" t="s">
        <v>37</v>
      </c>
      <c r="M602" s="1146"/>
      <c r="O602"/>
    </row>
    <row r="603" spans="1:18" ht="30" customHeight="1">
      <c r="A603" s="45" t="s">
        <v>606</v>
      </c>
      <c r="B603" s="1188" t="s">
        <v>660</v>
      </c>
      <c r="C603" s="1189"/>
      <c r="D603" s="1190"/>
      <c r="E603" s="354">
        <f>+P902</f>
        <v>14.6</v>
      </c>
      <c r="F603" s="262" t="s">
        <v>6</v>
      </c>
      <c r="G603" s="365">
        <v>525</v>
      </c>
      <c r="H603" s="259" t="s">
        <v>608</v>
      </c>
      <c r="I603" s="326">
        <f>+R902</f>
        <v>1.07</v>
      </c>
      <c r="J603" s="326">
        <f>+S902</f>
        <v>0.99065420560747663</v>
      </c>
      <c r="K603" s="213">
        <f>+E603*G603*I603*J603</f>
        <v>8124.9000000000015</v>
      </c>
      <c r="L603" s="45" t="s">
        <v>37</v>
      </c>
      <c r="M603" s="1146"/>
      <c r="O603"/>
    </row>
    <row r="604" spans="1:18" ht="30" customHeight="1">
      <c r="A604" s="45">
        <v>93410</v>
      </c>
      <c r="B604" s="1188" t="s">
        <v>661</v>
      </c>
      <c r="C604" s="1189"/>
      <c r="D604" s="1190"/>
      <c r="E604" s="354">
        <f>+P910</f>
        <v>8.1999999999999993</v>
      </c>
      <c r="F604" s="262" t="s">
        <v>285</v>
      </c>
      <c r="G604" s="380">
        <v>277.9375</v>
      </c>
      <c r="H604" s="259" t="s">
        <v>611</v>
      </c>
      <c r="I604" s="386">
        <f>+R910</f>
        <v>0.94232233454704462</v>
      </c>
      <c r="J604" s="20"/>
      <c r="K604" s="213">
        <f>+E604*G604*I604</f>
        <v>2147.6350536369873</v>
      </c>
      <c r="L604" s="45" t="s">
        <v>37</v>
      </c>
      <c r="M604" s="1146"/>
      <c r="O604"/>
    </row>
    <row r="605" spans="1:18" ht="30" customHeight="1">
      <c r="A605" s="45"/>
      <c r="B605" s="1307"/>
      <c r="C605" s="1307"/>
      <c r="D605" s="1307"/>
      <c r="E605" s="213"/>
      <c r="F605" s="45"/>
      <c r="G605" s="382"/>
      <c r="H605" s="264"/>
      <c r="I605" s="20"/>
      <c r="J605" s="20" t="s">
        <v>379</v>
      </c>
      <c r="K605" s="213">
        <f>SUM(K601:K604)</f>
        <v>11191.979053636987</v>
      </c>
      <c r="L605" s="45" t="s">
        <v>37</v>
      </c>
      <c r="M605" s="1146"/>
      <c r="N605" s="282"/>
      <c r="O605" s="34"/>
      <c r="P605" s="283"/>
      <c r="Q605" s="282"/>
      <c r="R605" s="284"/>
    </row>
    <row r="606" spans="1:18" s="38" customFormat="1" ht="30" customHeight="1" thickBot="1">
      <c r="A606" s="45"/>
      <c r="B606" s="45"/>
      <c r="C606" s="46"/>
      <c r="D606" s="46"/>
      <c r="E606" s="46"/>
      <c r="F606" s="46"/>
      <c r="G606" s="176" t="s">
        <v>312</v>
      </c>
      <c r="H606" s="46"/>
      <c r="I606" s="18"/>
      <c r="J606" s="139">
        <f>VLOOKUP(B599,'Mil Cost Premiums for RUCs'!$A$4:$R$266,18,FALSE)</f>
        <v>1.0485669999999998</v>
      </c>
      <c r="K606" s="21">
        <f>+K605*J606</f>
        <v>11735.539900334972</v>
      </c>
      <c r="L606" s="45" t="s">
        <v>37</v>
      </c>
      <c r="M606" s="1146"/>
      <c r="N606" s="282"/>
      <c r="O606" s="39"/>
      <c r="P606" s="283"/>
      <c r="Q606" s="282"/>
      <c r="R606" s="284"/>
    </row>
    <row r="607" spans="1:18" ht="30" customHeight="1" thickBot="1">
      <c r="A607" s="1165"/>
      <c r="B607" s="1166"/>
      <c r="C607" s="1166"/>
      <c r="D607" s="1166"/>
      <c r="E607" s="1166"/>
      <c r="F607" s="1166"/>
      <c r="G607" s="1166"/>
      <c r="H607" s="1166"/>
      <c r="I607" s="1166"/>
      <c r="J607" s="1166"/>
      <c r="K607" s="1166"/>
      <c r="L607" s="1167"/>
      <c r="M607" s="1146"/>
      <c r="N607" s="282"/>
      <c r="O607" s="34"/>
      <c r="P607" s="283"/>
      <c r="Q607" s="282"/>
      <c r="R607" s="284"/>
    </row>
    <row r="608" spans="1:18" ht="75" customHeight="1">
      <c r="A608" s="27" t="s">
        <v>280</v>
      </c>
      <c r="B608" s="28">
        <v>1756</v>
      </c>
      <c r="C608" s="1393" t="s">
        <v>662</v>
      </c>
      <c r="D608" s="1394"/>
      <c r="E608" s="30" t="s">
        <v>282</v>
      </c>
      <c r="F608" s="31" t="s">
        <v>37</v>
      </c>
      <c r="G608" s="70" t="s">
        <v>663</v>
      </c>
      <c r="H608" s="186">
        <v>4</v>
      </c>
      <c r="I608" s="30" t="s">
        <v>283</v>
      </c>
      <c r="J608" s="1199" t="s">
        <v>2611</v>
      </c>
      <c r="K608" s="1199"/>
      <c r="L608" s="1200"/>
      <c r="M608" s="1146"/>
      <c r="N608" s="282"/>
      <c r="O608" s="34"/>
      <c r="P608" s="283"/>
      <c r="Q608" s="282"/>
      <c r="R608" s="284"/>
    </row>
    <row r="609" spans="1:21" ht="30" customHeight="1">
      <c r="A609" s="35" t="s">
        <v>597</v>
      </c>
      <c r="B609" s="1300" t="s">
        <v>330</v>
      </c>
      <c r="C609" s="1301"/>
      <c r="D609" s="1302"/>
      <c r="E609" s="362" t="s">
        <v>295</v>
      </c>
      <c r="F609" s="362" t="s">
        <v>331</v>
      </c>
      <c r="G609" s="1356" t="s">
        <v>332</v>
      </c>
      <c r="H609" s="1357"/>
      <c r="I609" s="77" t="s">
        <v>305</v>
      </c>
      <c r="J609" s="285" t="s">
        <v>308</v>
      </c>
      <c r="K609" s="1312" t="s">
        <v>297</v>
      </c>
      <c r="L609" s="1313"/>
      <c r="M609" s="1146"/>
      <c r="N609" s="282"/>
      <c r="O609" s="34"/>
      <c r="P609" s="283"/>
      <c r="Q609" s="282"/>
      <c r="R609" s="284"/>
    </row>
    <row r="610" spans="1:21" ht="30" customHeight="1">
      <c r="A610" s="35"/>
      <c r="B610" s="1307" t="s">
        <v>664</v>
      </c>
      <c r="C610" s="1307"/>
      <c r="D610" s="1307"/>
      <c r="E610" s="362"/>
      <c r="F610" s="362"/>
      <c r="G610" s="392"/>
      <c r="H610" s="393"/>
      <c r="I610" s="83"/>
      <c r="J610" s="83"/>
      <c r="K610" s="362"/>
      <c r="L610" s="362"/>
      <c r="M610" s="1146"/>
      <c r="N610" s="282"/>
      <c r="O610" s="34"/>
      <c r="P610" s="283"/>
      <c r="Q610" s="282"/>
      <c r="R610" s="284"/>
    </row>
    <row r="611" spans="1:21" ht="30" customHeight="1">
      <c r="A611" s="45" t="s">
        <v>538</v>
      </c>
      <c r="B611" s="1307" t="s">
        <v>665</v>
      </c>
      <c r="C611" s="1307"/>
      <c r="D611" s="1307"/>
      <c r="E611" s="354">
        <f>+P891</f>
        <v>9.15</v>
      </c>
      <c r="F611" s="45" t="s">
        <v>8</v>
      </c>
      <c r="G611" s="365">
        <f>4*62</f>
        <v>248</v>
      </c>
      <c r="H611" s="259" t="s">
        <v>599</v>
      </c>
      <c r="I611" s="326">
        <f>+R891</f>
        <v>1.05</v>
      </c>
      <c r="J611" s="326">
        <f>+S891</f>
        <v>0.99065420560747663</v>
      </c>
      <c r="K611" s="213">
        <f t="shared" ref="K611:K619" si="1">+E611*G611*I611*J611</f>
        <v>2360.3921495327104</v>
      </c>
      <c r="L611" s="45" t="s">
        <v>37</v>
      </c>
      <c r="M611" s="1146"/>
      <c r="N611" s="282"/>
      <c r="O611" s="34"/>
      <c r="P611" s="283"/>
      <c r="Q611" s="282"/>
      <c r="R611" s="284"/>
    </row>
    <row r="612" spans="1:21" ht="30" customHeight="1">
      <c r="A612" s="45" t="s">
        <v>480</v>
      </c>
      <c r="B612" s="1307" t="s">
        <v>666</v>
      </c>
      <c r="C612" s="1307"/>
      <c r="D612" s="1307"/>
      <c r="E612" s="354">
        <f>+P893</f>
        <v>17.95</v>
      </c>
      <c r="F612" s="45" t="s">
        <v>8</v>
      </c>
      <c r="G612" s="365">
        <f>80.7*6</f>
        <v>484.20000000000005</v>
      </c>
      <c r="H612" s="259" t="s">
        <v>599</v>
      </c>
      <c r="I612" s="326">
        <f>+R893</f>
        <v>1.07</v>
      </c>
      <c r="J612" s="326">
        <f>+S893</f>
        <v>0.99065420560747663</v>
      </c>
      <c r="K612" s="213">
        <f t="shared" si="1"/>
        <v>9212.8734000000022</v>
      </c>
      <c r="L612" s="45" t="s">
        <v>37</v>
      </c>
      <c r="M612" s="1146"/>
      <c r="N612" s="982"/>
      <c r="O612" s="34"/>
      <c r="P612" s="283"/>
      <c r="Q612" s="282"/>
      <c r="R612" s="284"/>
    </row>
    <row r="613" spans="1:21" ht="30" customHeight="1">
      <c r="A613" s="45" t="s">
        <v>600</v>
      </c>
      <c r="B613" s="1307" t="s">
        <v>601</v>
      </c>
      <c r="C613" s="1307"/>
      <c r="D613" s="1307"/>
      <c r="E613" s="354">
        <f>+P895</f>
        <v>439.5</v>
      </c>
      <c r="F613" s="262" t="s">
        <v>10</v>
      </c>
      <c r="G613" s="365">
        <v>10</v>
      </c>
      <c r="H613" s="259" t="s">
        <v>602</v>
      </c>
      <c r="I613" s="326">
        <f>+R895</f>
        <v>1.07</v>
      </c>
      <c r="J613" s="326">
        <f>+S895</f>
        <v>0.99065420560747663</v>
      </c>
      <c r="K613" s="213">
        <f t="shared" si="1"/>
        <v>4658.7000000000007</v>
      </c>
      <c r="L613" s="45" t="s">
        <v>37</v>
      </c>
      <c r="M613" s="1146"/>
      <c r="N613" s="55"/>
      <c r="O613" s="34"/>
      <c r="P613" s="283"/>
      <c r="Q613" s="282"/>
      <c r="R613" s="284"/>
    </row>
    <row r="614" spans="1:21" ht="30" customHeight="1">
      <c r="A614" s="45" t="s">
        <v>461</v>
      </c>
      <c r="B614" s="1307" t="s">
        <v>640</v>
      </c>
      <c r="C614" s="1307"/>
      <c r="D614" s="1307"/>
      <c r="E614" s="354">
        <f>+P903</f>
        <v>17.125</v>
      </c>
      <c r="F614" s="262" t="s">
        <v>6</v>
      </c>
      <c r="G614" s="365">
        <f>6*50</f>
        <v>300</v>
      </c>
      <c r="H614" s="259" t="s">
        <v>608</v>
      </c>
      <c r="I614" s="326">
        <f>+R903</f>
        <v>1.07</v>
      </c>
      <c r="J614" s="326">
        <f>+S903</f>
        <v>0.99065420560747663</v>
      </c>
      <c r="K614" s="213">
        <f t="shared" si="1"/>
        <v>5445.75</v>
      </c>
      <c r="L614" s="45" t="s">
        <v>37</v>
      </c>
      <c r="M614" s="1146"/>
      <c r="N614" s="55"/>
      <c r="O614" s="34"/>
      <c r="P614" s="283"/>
      <c r="Q614" s="282"/>
      <c r="R614" s="284"/>
    </row>
    <row r="615" spans="1:21" ht="30" customHeight="1">
      <c r="A615" s="45" t="s">
        <v>461</v>
      </c>
      <c r="B615" s="1307" t="s">
        <v>667</v>
      </c>
      <c r="C615" s="1307"/>
      <c r="D615" s="1307"/>
      <c r="E615" s="354">
        <f>+P904</f>
        <v>2617.5</v>
      </c>
      <c r="F615" s="262" t="s">
        <v>10</v>
      </c>
      <c r="G615" s="365">
        <v>6</v>
      </c>
      <c r="H615" s="259" t="s">
        <v>618</v>
      </c>
      <c r="I615" s="326">
        <f>+R904</f>
        <v>1.07</v>
      </c>
      <c r="J615" s="326">
        <f>+S904</f>
        <v>0.99065420560747663</v>
      </c>
      <c r="K615" s="213">
        <f t="shared" si="1"/>
        <v>16647.300000000003</v>
      </c>
      <c r="L615" s="45" t="s">
        <v>37</v>
      </c>
      <c r="M615" s="1146"/>
      <c r="N615" s="55"/>
      <c r="O615" s="34"/>
      <c r="P615" s="283"/>
      <c r="Q615" s="282"/>
      <c r="R615" s="284"/>
    </row>
    <row r="616" spans="1:21" ht="30" customHeight="1">
      <c r="A616" s="45" t="s">
        <v>600</v>
      </c>
      <c r="B616" s="1307" t="s">
        <v>603</v>
      </c>
      <c r="C616" s="1307"/>
      <c r="D616" s="1307"/>
      <c r="E616" s="354">
        <f>+P897</f>
        <v>316</v>
      </c>
      <c r="F616" s="262" t="s">
        <v>10</v>
      </c>
      <c r="G616" s="365">
        <v>10</v>
      </c>
      <c r="H616" s="259" t="s">
        <v>602</v>
      </c>
      <c r="I616" s="326">
        <f>+R897</f>
        <v>1.07</v>
      </c>
      <c r="J616" s="326">
        <f>+S897</f>
        <v>0.99065420560747663</v>
      </c>
      <c r="K616" s="213">
        <f t="shared" si="1"/>
        <v>3349.6000000000004</v>
      </c>
      <c r="L616" s="45" t="s">
        <v>37</v>
      </c>
      <c r="M616" s="1146"/>
      <c r="N616" s="55"/>
      <c r="O616" s="34"/>
      <c r="P616" s="283"/>
      <c r="Q616" s="282"/>
      <c r="R616" s="284"/>
    </row>
    <row r="617" spans="1:21" ht="30" customHeight="1">
      <c r="A617" s="45" t="s">
        <v>604</v>
      </c>
      <c r="B617" s="1307" t="s">
        <v>668</v>
      </c>
      <c r="C617" s="1307"/>
      <c r="D617" s="1307"/>
      <c r="E617" s="354">
        <f>+P900</f>
        <v>137.85</v>
      </c>
      <c r="F617" s="262" t="s">
        <v>10</v>
      </c>
      <c r="G617" s="365">
        <v>40</v>
      </c>
      <c r="H617" s="259" t="s">
        <v>602</v>
      </c>
      <c r="I617" s="326">
        <f>+R900</f>
        <v>1.07</v>
      </c>
      <c r="J617" s="326">
        <f>+S900</f>
        <v>0.99065420560747663</v>
      </c>
      <c r="K617" s="213">
        <f t="shared" si="1"/>
        <v>5844.84</v>
      </c>
      <c r="L617" s="45" t="s">
        <v>37</v>
      </c>
      <c r="M617" s="1146"/>
      <c r="N617" s="55"/>
      <c r="O617" s="34"/>
      <c r="P617" s="283"/>
      <c r="Q617" s="282"/>
      <c r="R617" s="284"/>
    </row>
    <row r="618" spans="1:21" ht="30" customHeight="1">
      <c r="A618" s="45" t="s">
        <v>606</v>
      </c>
      <c r="B618" s="1307" t="s">
        <v>669</v>
      </c>
      <c r="C618" s="1307"/>
      <c r="D618" s="1307"/>
      <c r="E618" s="354">
        <f>+P901</f>
        <v>17.110000000000003</v>
      </c>
      <c r="F618" s="262" t="s">
        <v>6</v>
      </c>
      <c r="G618" s="391">
        <v>6412</v>
      </c>
      <c r="H618" s="259" t="s">
        <v>608</v>
      </c>
      <c r="I618" s="326">
        <f>+R901</f>
        <v>1.07</v>
      </c>
      <c r="J618" s="326">
        <f>+S901</f>
        <v>0.99065420560747663</v>
      </c>
      <c r="K618" s="213">
        <f t="shared" si="1"/>
        <v>116291.87920000002</v>
      </c>
      <c r="L618" s="45" t="s">
        <v>37</v>
      </c>
      <c r="M618" s="1146"/>
      <c r="P618" s="34"/>
      <c r="Q618" s="34"/>
      <c r="R618" s="34"/>
      <c r="S618" s="44"/>
      <c r="T618" s="44"/>
      <c r="U618" s="34"/>
    </row>
    <row r="619" spans="1:21" s="38" customFormat="1" ht="30" customHeight="1">
      <c r="A619" s="45" t="s">
        <v>342</v>
      </c>
      <c r="B619" s="1188" t="s">
        <v>670</v>
      </c>
      <c r="C619" s="1189"/>
      <c r="D619" s="1190"/>
      <c r="E619" s="241">
        <f>+P894</f>
        <v>4.6849999999999996</v>
      </c>
      <c r="F619" s="262" t="s">
        <v>8</v>
      </c>
      <c r="G619" s="365">
        <f>32*9</f>
        <v>288</v>
      </c>
      <c r="H619" s="259" t="s">
        <v>599</v>
      </c>
      <c r="I619" s="326">
        <f>+R890</f>
        <v>1.05</v>
      </c>
      <c r="J619" s="326">
        <f>+S894</f>
        <v>0.99065420560747663</v>
      </c>
      <c r="K619" s="213">
        <f t="shared" si="1"/>
        <v>1403.503401869159</v>
      </c>
      <c r="L619" s="45" t="s">
        <v>37</v>
      </c>
      <c r="M619" s="1146"/>
      <c r="N619" s="193"/>
      <c r="O619" s="1119"/>
      <c r="P619" s="39"/>
      <c r="Q619" s="39"/>
      <c r="R619" s="39"/>
      <c r="S619" s="84"/>
      <c r="T619" s="84"/>
      <c r="U619" s="39"/>
    </row>
    <row r="620" spans="1:21" s="32" customFormat="1" ht="30" customHeight="1">
      <c r="A620" s="45">
        <v>93410</v>
      </c>
      <c r="B620" s="1188" t="s">
        <v>671</v>
      </c>
      <c r="C620" s="1189"/>
      <c r="D620" s="1190"/>
      <c r="E620" s="354">
        <f>+P910</f>
        <v>8.1999999999999993</v>
      </c>
      <c r="F620" s="262" t="s">
        <v>285</v>
      </c>
      <c r="G620" s="380">
        <v>261.5</v>
      </c>
      <c r="H620" s="259" t="s">
        <v>611</v>
      </c>
      <c r="I620" s="386">
        <f>+R910</f>
        <v>0.94232233454704462</v>
      </c>
      <c r="J620" s="326"/>
      <c r="K620" s="213">
        <f>+E620*G620*I620</f>
        <v>2020.6217819692274</v>
      </c>
      <c r="L620" s="45" t="s">
        <v>37</v>
      </c>
      <c r="M620" s="1146"/>
      <c r="N620" s="124"/>
      <c r="O620" s="33"/>
    </row>
    <row r="621" spans="1:21" s="32" customFormat="1" ht="30" customHeight="1">
      <c r="A621" s="45"/>
      <c r="B621" s="1307"/>
      <c r="C621" s="1307"/>
      <c r="D621" s="1307"/>
      <c r="E621" s="213"/>
      <c r="F621" s="45"/>
      <c r="G621" s="382"/>
      <c r="H621" s="264"/>
      <c r="I621" s="20"/>
      <c r="J621" s="20" t="s">
        <v>379</v>
      </c>
      <c r="K621" s="213">
        <f>SUM(K611:K620)</f>
        <v>167235.45993337114</v>
      </c>
      <c r="L621" s="45" t="s">
        <v>37</v>
      </c>
      <c r="M621" s="1146"/>
      <c r="N621" s="124"/>
      <c r="O621" s="33"/>
    </row>
    <row r="622" spans="1:21" s="32" customFormat="1" ht="30" customHeight="1" thickBot="1">
      <c r="A622" s="45"/>
      <c r="B622" s="45"/>
      <c r="C622" s="46"/>
      <c r="D622" s="46"/>
      <c r="E622" s="46"/>
      <c r="F622" s="46"/>
      <c r="G622" s="176" t="s">
        <v>312</v>
      </c>
      <c r="H622" s="46"/>
      <c r="I622" s="18"/>
      <c r="J622" s="139">
        <f>VLOOKUP(B608,'Mil Cost Premiums for RUCs'!$A$4:$R$266,18,FALSE)</f>
        <v>1.0485669999999998</v>
      </c>
      <c r="K622" s="21">
        <f>+K621*J622</f>
        <v>175357.58451595515</v>
      </c>
      <c r="L622" s="45" t="s">
        <v>37</v>
      </c>
      <c r="M622" s="1146"/>
      <c r="N622" s="124"/>
      <c r="O622" s="33"/>
    </row>
    <row r="623" spans="1:21" ht="30" customHeight="1" thickBot="1">
      <c r="A623" s="1165"/>
      <c r="B623" s="1166"/>
      <c r="C623" s="1166"/>
      <c r="D623" s="1166"/>
      <c r="E623" s="1166"/>
      <c r="F623" s="1166"/>
      <c r="G623" s="1166"/>
      <c r="H623" s="1166"/>
      <c r="I623" s="1166"/>
      <c r="J623" s="1166"/>
      <c r="K623" s="1166"/>
      <c r="L623" s="1167"/>
      <c r="M623" s="1146"/>
    </row>
    <row r="624" spans="1:21" ht="75" customHeight="1">
      <c r="A624" s="27" t="s">
        <v>280</v>
      </c>
      <c r="B624" s="28">
        <v>1757</v>
      </c>
      <c r="C624" s="1393" t="s">
        <v>672</v>
      </c>
      <c r="D624" s="1394"/>
      <c r="E624" s="30" t="s">
        <v>282</v>
      </c>
      <c r="F624" s="31" t="s">
        <v>37</v>
      </c>
      <c r="G624" s="70" t="s">
        <v>673</v>
      </c>
      <c r="H624" s="186">
        <v>15</v>
      </c>
      <c r="I624" s="30" t="s">
        <v>283</v>
      </c>
      <c r="J624" s="1199" t="s">
        <v>2611</v>
      </c>
      <c r="K624" s="1199"/>
      <c r="L624" s="1200"/>
      <c r="M624" s="1146"/>
    </row>
    <row r="625" spans="1:21" ht="30" customHeight="1">
      <c r="A625" s="35" t="s">
        <v>597</v>
      </c>
      <c r="B625" s="1300" t="s">
        <v>330</v>
      </c>
      <c r="C625" s="1301"/>
      <c r="D625" s="1302"/>
      <c r="E625" s="362" t="s">
        <v>295</v>
      </c>
      <c r="F625" s="362" t="s">
        <v>331</v>
      </c>
      <c r="G625" s="1356" t="s">
        <v>332</v>
      </c>
      <c r="H625" s="1357"/>
      <c r="I625" s="77" t="s">
        <v>305</v>
      </c>
      <c r="J625" s="285" t="s">
        <v>308</v>
      </c>
      <c r="K625" s="1312" t="s">
        <v>297</v>
      </c>
      <c r="L625" s="1313"/>
      <c r="M625" s="1146"/>
      <c r="N625" s="1103"/>
      <c r="O625"/>
      <c r="P625" s="159"/>
      <c r="Q625" s="147"/>
      <c r="R625" s="149"/>
    </row>
    <row r="626" spans="1:21" s="38" customFormat="1" ht="30" customHeight="1">
      <c r="A626" s="45" t="s">
        <v>538</v>
      </c>
      <c r="B626" s="1188" t="s">
        <v>674</v>
      </c>
      <c r="C626" s="1189"/>
      <c r="D626" s="1190"/>
      <c r="E626" s="354">
        <f>+P891</f>
        <v>9.15</v>
      </c>
      <c r="F626" s="20" t="s">
        <v>8</v>
      </c>
      <c r="G626" s="363">
        <f>8*62</f>
        <v>496</v>
      </c>
      <c r="H626" s="252" t="s">
        <v>599</v>
      </c>
      <c r="I626" s="326">
        <f>+R891</f>
        <v>1.05</v>
      </c>
      <c r="J626" s="326">
        <f>+S891</f>
        <v>0.99065420560747663</v>
      </c>
      <c r="K626" s="213">
        <f>+E626*G626*I626*J626</f>
        <v>4720.7842990654208</v>
      </c>
      <c r="L626" s="45" t="s">
        <v>37</v>
      </c>
      <c r="M626" s="1146"/>
      <c r="N626" s="1103"/>
      <c r="P626" s="159"/>
      <c r="Q626" s="147"/>
      <c r="R626" s="149"/>
    </row>
    <row r="627" spans="1:21" ht="30" customHeight="1">
      <c r="A627" s="45" t="s">
        <v>600</v>
      </c>
      <c r="B627" s="1188" t="s">
        <v>601</v>
      </c>
      <c r="C627" s="1189"/>
      <c r="D627" s="1190"/>
      <c r="E627" s="354">
        <f>+P895</f>
        <v>439.5</v>
      </c>
      <c r="F627" s="317" t="s">
        <v>10</v>
      </c>
      <c r="G627" s="363">
        <v>8</v>
      </c>
      <c r="H627" s="252" t="s">
        <v>602</v>
      </c>
      <c r="I627" s="326">
        <f>+R895</f>
        <v>1.07</v>
      </c>
      <c r="J627" s="326">
        <f>+S895</f>
        <v>0.99065420560747663</v>
      </c>
      <c r="K627" s="213">
        <f>+E627*G627*I627*J627</f>
        <v>3726.9600000000005</v>
      </c>
      <c r="L627" s="45" t="s">
        <v>37</v>
      </c>
      <c r="M627" s="1146"/>
      <c r="O627"/>
      <c r="P627" s="159"/>
      <c r="Q627" s="147"/>
      <c r="R627" s="149"/>
    </row>
    <row r="628" spans="1:21" ht="30" customHeight="1">
      <c r="A628" s="45" t="s">
        <v>600</v>
      </c>
      <c r="B628" s="1188" t="s">
        <v>603</v>
      </c>
      <c r="C628" s="1189"/>
      <c r="D628" s="1190"/>
      <c r="E628" s="354">
        <f>+P897</f>
        <v>316</v>
      </c>
      <c r="F628" s="317" t="s">
        <v>10</v>
      </c>
      <c r="G628" s="363">
        <v>8</v>
      </c>
      <c r="H628" s="252" t="s">
        <v>602</v>
      </c>
      <c r="I628" s="326">
        <f>+R897</f>
        <v>1.07</v>
      </c>
      <c r="J628" s="326">
        <f>+S897</f>
        <v>0.99065420560747663</v>
      </c>
      <c r="K628" s="213">
        <f>+E628*G628*I628*J628</f>
        <v>2679.68</v>
      </c>
      <c r="L628" s="45" t="s">
        <v>37</v>
      </c>
      <c r="M628" s="1146"/>
      <c r="O628"/>
      <c r="P628" s="159"/>
      <c r="Q628" s="147"/>
      <c r="R628" s="149"/>
    </row>
    <row r="629" spans="1:21" ht="30" customHeight="1">
      <c r="A629" s="45" t="s">
        <v>604</v>
      </c>
      <c r="B629" s="1188" t="s">
        <v>605</v>
      </c>
      <c r="C629" s="1189"/>
      <c r="D629" s="1190"/>
      <c r="E629" s="354">
        <f>+P900</f>
        <v>137.85</v>
      </c>
      <c r="F629" s="317" t="s">
        <v>10</v>
      </c>
      <c r="G629" s="363">
        <v>32</v>
      </c>
      <c r="H629" s="252" t="s">
        <v>602</v>
      </c>
      <c r="I629" s="326">
        <f>+R900</f>
        <v>1.07</v>
      </c>
      <c r="J629" s="326">
        <f>+S900</f>
        <v>0.99065420560747663</v>
      </c>
      <c r="K629" s="213">
        <f>+E629*G629*I629*J629</f>
        <v>4675.8720000000003</v>
      </c>
      <c r="L629" s="45" t="s">
        <v>37</v>
      </c>
      <c r="M629" s="1146"/>
      <c r="O629"/>
      <c r="P629" s="159"/>
      <c r="Q629" s="147"/>
      <c r="R629" s="149"/>
    </row>
    <row r="630" spans="1:21" ht="30" customHeight="1">
      <c r="A630" s="45" t="s">
        <v>606</v>
      </c>
      <c r="B630" s="1188" t="s">
        <v>675</v>
      </c>
      <c r="C630" s="1189"/>
      <c r="D630" s="1190"/>
      <c r="E630" s="354">
        <f>+P901</f>
        <v>17.110000000000003</v>
      </c>
      <c r="F630" s="317" t="s">
        <v>6</v>
      </c>
      <c r="G630" s="363">
        <f>8*101</f>
        <v>808</v>
      </c>
      <c r="H630" s="252" t="s">
        <v>608</v>
      </c>
      <c r="I630" s="326">
        <f>+R901</f>
        <v>1.07</v>
      </c>
      <c r="J630" s="326">
        <f>+S901</f>
        <v>0.99065420560747663</v>
      </c>
      <c r="K630" s="213">
        <f>+E630*G630*I630*J630</f>
        <v>14654.372800000005</v>
      </c>
      <c r="L630" s="45" t="s">
        <v>37</v>
      </c>
      <c r="M630" s="1146"/>
      <c r="O630"/>
      <c r="P630" s="159"/>
      <c r="Q630" s="147"/>
      <c r="R630" s="149"/>
    </row>
    <row r="631" spans="1:21" ht="30" customHeight="1">
      <c r="A631" s="45">
        <v>93210</v>
      </c>
      <c r="B631" s="1188" t="s">
        <v>676</v>
      </c>
      <c r="C631" s="1189"/>
      <c r="D631" s="1190"/>
      <c r="E631" s="354">
        <f>+P912</f>
        <v>45.8</v>
      </c>
      <c r="F631" s="317" t="s">
        <v>285</v>
      </c>
      <c r="G631" s="394">
        <v>27.8125</v>
      </c>
      <c r="H631" s="252" t="s">
        <v>611</v>
      </c>
      <c r="I631" s="386">
        <f>+R912</f>
        <v>0.94232233454704462</v>
      </c>
      <c r="J631" s="20"/>
      <c r="K631" s="213">
        <f>+E631*G631*I631</f>
        <v>1200.3419687752073</v>
      </c>
      <c r="L631" s="45" t="s">
        <v>37</v>
      </c>
      <c r="M631" s="1146"/>
      <c r="O631"/>
      <c r="P631" s="159"/>
      <c r="Q631" s="147"/>
      <c r="R631" s="149"/>
    </row>
    <row r="632" spans="1:21" ht="30" customHeight="1">
      <c r="A632" s="45">
        <v>93410</v>
      </c>
      <c r="B632" s="1188" t="s">
        <v>677</v>
      </c>
      <c r="C632" s="1189"/>
      <c r="D632" s="1190"/>
      <c r="E632" s="354">
        <f>+P910</f>
        <v>8.1999999999999993</v>
      </c>
      <c r="F632" s="317" t="s">
        <v>285</v>
      </c>
      <c r="G632" s="394">
        <f>2.61*8</f>
        <v>20.88</v>
      </c>
      <c r="H632" s="252" t="s">
        <v>611</v>
      </c>
      <c r="I632" s="386">
        <f>+R910</f>
        <v>0.94232233454704462</v>
      </c>
      <c r="J632" s="20"/>
      <c r="K632" s="213">
        <f>+E632*G632*I632</f>
        <v>161.34066083180676</v>
      </c>
      <c r="L632" s="45" t="s">
        <v>37</v>
      </c>
      <c r="M632" s="1146"/>
      <c r="O632"/>
      <c r="P632" s="159"/>
      <c r="Q632" s="147"/>
      <c r="R632" s="149"/>
    </row>
    <row r="633" spans="1:21" ht="30" customHeight="1">
      <c r="A633" s="45"/>
      <c r="B633" s="1307"/>
      <c r="C633" s="1307"/>
      <c r="D633" s="1307"/>
      <c r="E633" s="153"/>
      <c r="F633" s="20"/>
      <c r="G633" s="395"/>
      <c r="H633" s="329"/>
      <c r="I633" s="20"/>
      <c r="J633" s="20" t="s">
        <v>379</v>
      </c>
      <c r="K633" s="213">
        <f>SUM(K626:K632)</f>
        <v>31819.351728672442</v>
      </c>
      <c r="L633" s="45" t="s">
        <v>37</v>
      </c>
      <c r="M633" s="1146"/>
      <c r="N633" s="282"/>
      <c r="O633" s="34"/>
      <c r="P633" s="283"/>
      <c r="Q633" s="282"/>
      <c r="R633" s="284"/>
    </row>
    <row r="634" spans="1:21" ht="30" customHeight="1" thickBot="1">
      <c r="A634" s="45"/>
      <c r="B634" s="45"/>
      <c r="C634" s="46"/>
      <c r="D634" s="46"/>
      <c r="E634" s="18"/>
      <c r="F634" s="18"/>
      <c r="G634" s="160" t="s">
        <v>312</v>
      </c>
      <c r="H634" s="18"/>
      <c r="I634" s="18"/>
      <c r="J634" s="139">
        <f>VLOOKUP(B624,'Mil Cost Premiums for RUCs'!$A$4:$R$266,18,FALSE)</f>
        <v>1.0485669999999998</v>
      </c>
      <c r="K634" s="21">
        <f>+K633*J634</f>
        <v>33364.72218407887</v>
      </c>
      <c r="L634" s="45" t="s">
        <v>37</v>
      </c>
      <c r="M634" s="1146"/>
      <c r="N634" s="282"/>
      <c r="O634" s="34"/>
      <c r="P634" s="283"/>
      <c r="Q634" s="282"/>
      <c r="R634" s="284"/>
    </row>
    <row r="635" spans="1:21" ht="30" customHeight="1" thickBot="1">
      <c r="A635" s="1165"/>
      <c r="B635" s="1166"/>
      <c r="C635" s="1166"/>
      <c r="D635" s="1166"/>
      <c r="E635" s="1166"/>
      <c r="F635" s="1166"/>
      <c r="G635" s="1166"/>
      <c r="H635" s="1166"/>
      <c r="I635" s="1166"/>
      <c r="J635" s="1166"/>
      <c r="K635" s="1166"/>
      <c r="L635" s="1167"/>
      <c r="M635" s="1146"/>
      <c r="N635" s="1103"/>
      <c r="O635"/>
      <c r="P635" s="159"/>
      <c r="Q635" s="147"/>
      <c r="R635" s="149"/>
    </row>
    <row r="636" spans="1:21" ht="75" customHeight="1">
      <c r="A636" s="27" t="s">
        <v>280</v>
      </c>
      <c r="B636" s="28">
        <v>1758</v>
      </c>
      <c r="C636" s="1393" t="s">
        <v>678</v>
      </c>
      <c r="D636" s="1394"/>
      <c r="E636" s="30" t="s">
        <v>282</v>
      </c>
      <c r="F636" s="31" t="s">
        <v>37</v>
      </c>
      <c r="G636" s="70" t="s">
        <v>679</v>
      </c>
      <c r="H636" s="186">
        <v>10</v>
      </c>
      <c r="I636" s="30" t="s">
        <v>283</v>
      </c>
      <c r="J636" s="1199" t="s">
        <v>2530</v>
      </c>
      <c r="K636" s="1199"/>
      <c r="L636" s="1200"/>
      <c r="M636" s="1146"/>
      <c r="N636" s="967"/>
      <c r="O636"/>
      <c r="P636" s="159"/>
      <c r="Q636" s="147"/>
      <c r="R636" s="149"/>
    </row>
    <row r="637" spans="1:21" ht="30" customHeight="1">
      <c r="A637" s="35" t="s">
        <v>597</v>
      </c>
      <c r="B637" s="1300" t="s">
        <v>330</v>
      </c>
      <c r="C637" s="1301"/>
      <c r="D637" s="1302"/>
      <c r="E637" s="362" t="s">
        <v>295</v>
      </c>
      <c r="F637" s="362" t="s">
        <v>331</v>
      </c>
      <c r="G637" s="1356" t="s">
        <v>332</v>
      </c>
      <c r="H637" s="1357"/>
      <c r="I637" s="77" t="s">
        <v>305</v>
      </c>
      <c r="J637" s="285" t="s">
        <v>308</v>
      </c>
      <c r="K637" s="1312" t="s">
        <v>297</v>
      </c>
      <c r="L637" s="1313"/>
      <c r="M637" s="1146"/>
      <c r="N637" s="282"/>
      <c r="O637" s="43"/>
      <c r="P637" s="159"/>
      <c r="Q637" s="147"/>
      <c r="R637" s="149"/>
    </row>
    <row r="638" spans="1:21" ht="30" customHeight="1">
      <c r="A638" s="35"/>
      <c r="B638" s="1307" t="s">
        <v>680</v>
      </c>
      <c r="C638" s="1307"/>
      <c r="D638" s="1307"/>
      <c r="E638" s="362"/>
      <c r="F638" s="362"/>
      <c r="G638" s="392"/>
      <c r="H638" s="393"/>
      <c r="I638" s="83"/>
      <c r="J638" s="83"/>
      <c r="K638" s="362"/>
      <c r="L638" s="362"/>
      <c r="M638" s="1146"/>
      <c r="P638" s="34"/>
      <c r="Q638" s="34"/>
      <c r="R638" s="34"/>
      <c r="S638" s="44"/>
      <c r="T638" s="44"/>
      <c r="U638" s="34"/>
    </row>
    <row r="639" spans="1:21" s="38" customFormat="1" ht="30" customHeight="1">
      <c r="A639" s="45" t="s">
        <v>538</v>
      </c>
      <c r="B639" s="1307" t="s">
        <v>681</v>
      </c>
      <c r="C639" s="1307"/>
      <c r="D639" s="1307"/>
      <c r="E639" s="354">
        <f>+P891</f>
        <v>9.15</v>
      </c>
      <c r="F639" s="20" t="s">
        <v>8</v>
      </c>
      <c r="G639" s="350">
        <f>3*62</f>
        <v>186</v>
      </c>
      <c r="H639" s="252" t="s">
        <v>599</v>
      </c>
      <c r="I639" s="326">
        <f>+R891</f>
        <v>1.05</v>
      </c>
      <c r="J639" s="326">
        <f>+S891</f>
        <v>0.99065420560747663</v>
      </c>
      <c r="K639" s="213">
        <f t="shared" ref="K639:K649" si="2">+E639*G639*I639*J639</f>
        <v>1770.2941121495328</v>
      </c>
      <c r="L639" s="45" t="s">
        <v>37</v>
      </c>
      <c r="M639" s="1146"/>
      <c r="N639" s="193"/>
      <c r="O639" s="1119"/>
      <c r="P639" s="39"/>
      <c r="Q639" s="39"/>
      <c r="R639" s="39"/>
      <c r="S639" s="84"/>
      <c r="T639" s="84"/>
      <c r="U639" s="39"/>
    </row>
    <row r="640" spans="1:21" s="32" customFormat="1" ht="30" customHeight="1">
      <c r="A640" s="45" t="s">
        <v>538</v>
      </c>
      <c r="B640" s="1307" t="s">
        <v>682</v>
      </c>
      <c r="C640" s="1307"/>
      <c r="D640" s="1307"/>
      <c r="E640" s="354">
        <f>+P891</f>
        <v>9.15</v>
      </c>
      <c r="F640" s="20" t="s">
        <v>8</v>
      </c>
      <c r="G640" s="350">
        <f>5*94</f>
        <v>470</v>
      </c>
      <c r="H640" s="252" t="s">
        <v>599</v>
      </c>
      <c r="I640" s="326">
        <f t="shared" ref="I640:J642" si="3">+R891</f>
        <v>1.05</v>
      </c>
      <c r="J640" s="326">
        <f t="shared" si="3"/>
        <v>0.99065420560747663</v>
      </c>
      <c r="K640" s="213">
        <f t="shared" si="2"/>
        <v>4473.3238317757014</v>
      </c>
      <c r="L640" s="45" t="s">
        <v>37</v>
      </c>
      <c r="M640" s="1146"/>
      <c r="N640" s="125"/>
      <c r="O640" s="33"/>
    </row>
    <row r="641" spans="1:18" s="32" customFormat="1" ht="30" customHeight="1">
      <c r="A641" s="45" t="s">
        <v>538</v>
      </c>
      <c r="B641" s="1307" t="s">
        <v>683</v>
      </c>
      <c r="C641" s="1307"/>
      <c r="D641" s="1307"/>
      <c r="E641" s="354">
        <f>+P892</f>
        <v>11.17</v>
      </c>
      <c r="F641" s="20" t="s">
        <v>8</v>
      </c>
      <c r="G641" s="350">
        <f>2*468</f>
        <v>936</v>
      </c>
      <c r="H641" s="252" t="s">
        <v>599</v>
      </c>
      <c r="I641" s="326">
        <f t="shared" si="3"/>
        <v>1.05</v>
      </c>
      <c r="J641" s="326">
        <f t="shared" si="3"/>
        <v>0.99065420560747663</v>
      </c>
      <c r="K641" s="213">
        <f t="shared" si="2"/>
        <v>10875.279028037385</v>
      </c>
      <c r="L641" s="45" t="s">
        <v>37</v>
      </c>
      <c r="M641" s="1146"/>
      <c r="N641" s="125"/>
      <c r="O641" s="33"/>
    </row>
    <row r="642" spans="1:18" s="32" customFormat="1" ht="30" customHeight="1">
      <c r="A642" s="45" t="s">
        <v>480</v>
      </c>
      <c r="B642" s="1307" t="s">
        <v>684</v>
      </c>
      <c r="C642" s="1307"/>
      <c r="D642" s="1307"/>
      <c r="E642" s="354">
        <f>+P893</f>
        <v>17.95</v>
      </c>
      <c r="F642" s="20" t="s">
        <v>8</v>
      </c>
      <c r="G642" s="396">
        <f>80.7*2</f>
        <v>161.4</v>
      </c>
      <c r="H642" s="252" t="s">
        <v>599</v>
      </c>
      <c r="I642" s="326">
        <f t="shared" si="3"/>
        <v>1.07</v>
      </c>
      <c r="J642" s="326">
        <f t="shared" si="3"/>
        <v>0.99065420560747663</v>
      </c>
      <c r="K642" s="213">
        <f t="shared" si="2"/>
        <v>3070.9578000000001</v>
      </c>
      <c r="L642" s="45" t="s">
        <v>37</v>
      </c>
      <c r="M642" s="1146"/>
      <c r="N642" s="125"/>
      <c r="O642" s="33"/>
    </row>
    <row r="643" spans="1:18" s="32" customFormat="1" ht="30" customHeight="1">
      <c r="A643" s="45" t="s">
        <v>600</v>
      </c>
      <c r="B643" s="1307" t="s">
        <v>635</v>
      </c>
      <c r="C643" s="1307"/>
      <c r="D643" s="1307"/>
      <c r="E643" s="354">
        <f>+P896</f>
        <v>800</v>
      </c>
      <c r="F643" s="317" t="s">
        <v>10</v>
      </c>
      <c r="G643" s="350">
        <v>12</v>
      </c>
      <c r="H643" s="252" t="s">
        <v>602</v>
      </c>
      <c r="I643" s="326">
        <f>+R896</f>
        <v>1.07</v>
      </c>
      <c r="J643" s="326">
        <f>+S896</f>
        <v>0.99065420560747663</v>
      </c>
      <c r="K643" s="213">
        <f t="shared" si="2"/>
        <v>10176</v>
      </c>
      <c r="L643" s="45" t="s">
        <v>37</v>
      </c>
      <c r="M643" s="1146"/>
      <c r="N643" s="125"/>
      <c r="O643" s="33"/>
    </row>
    <row r="644" spans="1:18" s="32" customFormat="1" ht="30" customHeight="1">
      <c r="A644" s="45" t="s">
        <v>461</v>
      </c>
      <c r="B644" s="1307" t="s">
        <v>640</v>
      </c>
      <c r="C644" s="1307"/>
      <c r="D644" s="1307"/>
      <c r="E644" s="354">
        <f>+P903</f>
        <v>17.125</v>
      </c>
      <c r="F644" s="317" t="s">
        <v>6</v>
      </c>
      <c r="G644" s="350">
        <f>2*50</f>
        <v>100</v>
      </c>
      <c r="H644" s="252" t="s">
        <v>608</v>
      </c>
      <c r="I644" s="326">
        <f>+R903</f>
        <v>1.07</v>
      </c>
      <c r="J644" s="326">
        <f>+S903</f>
        <v>0.99065420560747663</v>
      </c>
      <c r="K644" s="213">
        <f t="shared" si="2"/>
        <v>1815.25</v>
      </c>
      <c r="L644" s="45" t="s">
        <v>37</v>
      </c>
      <c r="M644" s="1146"/>
      <c r="N644" s="982"/>
      <c r="O644" s="33"/>
    </row>
    <row r="645" spans="1:18" ht="30" customHeight="1">
      <c r="A645" s="45" t="s">
        <v>461</v>
      </c>
      <c r="B645" s="1307" t="s">
        <v>667</v>
      </c>
      <c r="C645" s="1307"/>
      <c r="D645" s="1307"/>
      <c r="E645" s="354">
        <f>+P904</f>
        <v>2617.5</v>
      </c>
      <c r="F645" s="317" t="s">
        <v>10</v>
      </c>
      <c r="G645" s="350">
        <v>2</v>
      </c>
      <c r="H645" s="252" t="s">
        <v>618</v>
      </c>
      <c r="I645" s="326">
        <f>+R904</f>
        <v>1.07</v>
      </c>
      <c r="J645" s="326">
        <f>+S904</f>
        <v>0.99065420560747663</v>
      </c>
      <c r="K645" s="213">
        <f t="shared" si="2"/>
        <v>5549.1</v>
      </c>
      <c r="L645" s="45" t="s">
        <v>37</v>
      </c>
      <c r="M645" s="1146"/>
      <c r="N645" s="39"/>
    </row>
    <row r="646" spans="1:18" ht="30" customHeight="1">
      <c r="A646" s="45" t="s">
        <v>600</v>
      </c>
      <c r="B646" s="1307" t="s">
        <v>685</v>
      </c>
      <c r="C646" s="1307"/>
      <c r="D646" s="1307"/>
      <c r="E646" s="354">
        <f>+P899</f>
        <v>985</v>
      </c>
      <c r="F646" s="317" t="s">
        <v>10</v>
      </c>
      <c r="G646" s="350">
        <v>12</v>
      </c>
      <c r="H646" s="252" t="s">
        <v>602</v>
      </c>
      <c r="I646" s="326">
        <f t="shared" ref="I646:J648" si="4">+R899</f>
        <v>1.07</v>
      </c>
      <c r="J646" s="326">
        <f t="shared" si="4"/>
        <v>0.99065420560747663</v>
      </c>
      <c r="K646" s="213">
        <f t="shared" si="2"/>
        <v>12529.2</v>
      </c>
      <c r="L646" s="45" t="s">
        <v>37</v>
      </c>
      <c r="M646" s="1146"/>
    </row>
    <row r="647" spans="1:18" ht="30" customHeight="1">
      <c r="A647" s="45" t="s">
        <v>604</v>
      </c>
      <c r="B647" s="1307" t="s">
        <v>686</v>
      </c>
      <c r="C647" s="1307"/>
      <c r="D647" s="1307"/>
      <c r="E647" s="354">
        <f>+P900</f>
        <v>137.85</v>
      </c>
      <c r="F647" s="317" t="s">
        <v>10</v>
      </c>
      <c r="G647" s="350">
        <f>5*12</f>
        <v>60</v>
      </c>
      <c r="H647" s="252" t="s">
        <v>602</v>
      </c>
      <c r="I647" s="326">
        <f t="shared" si="4"/>
        <v>1.07</v>
      </c>
      <c r="J647" s="326">
        <f t="shared" si="4"/>
        <v>0.99065420560747663</v>
      </c>
      <c r="K647" s="213">
        <f t="shared" si="2"/>
        <v>8767.260000000002</v>
      </c>
      <c r="L647" s="45" t="s">
        <v>37</v>
      </c>
      <c r="M647" s="1146"/>
      <c r="N647" s="523"/>
      <c r="O647" s="523"/>
      <c r="P647" s="159"/>
      <c r="Q647" s="147"/>
      <c r="R647" s="149"/>
    </row>
    <row r="648" spans="1:18" s="38" customFormat="1" ht="30" customHeight="1">
      <c r="A648" s="45" t="s">
        <v>606</v>
      </c>
      <c r="B648" s="1188" t="s">
        <v>687</v>
      </c>
      <c r="C648" s="1189"/>
      <c r="D648" s="1190"/>
      <c r="E648" s="354">
        <f>+P901</f>
        <v>17.110000000000003</v>
      </c>
      <c r="F648" s="317" t="s">
        <v>6</v>
      </c>
      <c r="G648" s="350">
        <v>2961</v>
      </c>
      <c r="H648" s="252" t="s">
        <v>608</v>
      </c>
      <c r="I648" s="326">
        <f t="shared" si="4"/>
        <v>1.07</v>
      </c>
      <c r="J648" s="326">
        <f t="shared" si="4"/>
        <v>0.99065420560747663</v>
      </c>
      <c r="K648" s="213">
        <f t="shared" si="2"/>
        <v>53702.472600000016</v>
      </c>
      <c r="L648" s="45" t="s">
        <v>37</v>
      </c>
      <c r="M648" s="1146"/>
      <c r="N648" s="522"/>
      <c r="O648" s="522"/>
      <c r="P648" s="159"/>
      <c r="Q648" s="147"/>
      <c r="R648" s="149"/>
    </row>
    <row r="649" spans="1:18" ht="30" customHeight="1">
      <c r="A649" s="45" t="s">
        <v>342</v>
      </c>
      <c r="B649" s="1188" t="s">
        <v>670</v>
      </c>
      <c r="C649" s="1189"/>
      <c r="D649" s="1190"/>
      <c r="E649" s="241">
        <f>+P894</f>
        <v>4.6849999999999996</v>
      </c>
      <c r="F649" s="317" t="s">
        <v>8</v>
      </c>
      <c r="G649" s="350">
        <f>32*9</f>
        <v>288</v>
      </c>
      <c r="H649" s="252" t="s">
        <v>599</v>
      </c>
      <c r="I649" s="326">
        <f>+R890</f>
        <v>1.05</v>
      </c>
      <c r="J649" s="326">
        <f>+S894</f>
        <v>0.99065420560747663</v>
      </c>
      <c r="K649" s="213">
        <f t="shared" si="2"/>
        <v>1403.503401869159</v>
      </c>
      <c r="L649" s="45" t="s">
        <v>37</v>
      </c>
      <c r="M649" s="1146"/>
      <c r="N649" s="282"/>
      <c r="O649" s="43"/>
      <c r="P649" s="159"/>
      <c r="Q649" s="147"/>
      <c r="R649" s="149"/>
    </row>
    <row r="650" spans="1:18" ht="30" customHeight="1">
      <c r="A650" s="45">
        <v>93410</v>
      </c>
      <c r="B650" s="1188" t="s">
        <v>688</v>
      </c>
      <c r="C650" s="1189"/>
      <c r="D650" s="1190"/>
      <c r="E650" s="354">
        <f>+P910</f>
        <v>8.1999999999999993</v>
      </c>
      <c r="F650" s="317" t="s">
        <v>285</v>
      </c>
      <c r="G650" s="396">
        <v>39.200000000000003</v>
      </c>
      <c r="H650" s="252" t="s">
        <v>611</v>
      </c>
      <c r="I650" s="386">
        <f>+R910</f>
        <v>0.94232233454704462</v>
      </c>
      <c r="J650" s="326"/>
      <c r="K650" s="213">
        <f>+E650*G650*I650</f>
        <v>302.90009121680202</v>
      </c>
      <c r="L650" s="45" t="s">
        <v>37</v>
      </c>
      <c r="M650" s="1146"/>
      <c r="N650" s="282"/>
      <c r="O650" s="43"/>
      <c r="P650" s="159"/>
      <c r="Q650" s="147"/>
      <c r="R650" s="149"/>
    </row>
    <row r="651" spans="1:18" ht="30" customHeight="1">
      <c r="A651" s="45">
        <v>93210</v>
      </c>
      <c r="B651" s="1188" t="s">
        <v>689</v>
      </c>
      <c r="C651" s="1189"/>
      <c r="D651" s="1190"/>
      <c r="E651" s="354">
        <f>+P912</f>
        <v>45.8</v>
      </c>
      <c r="F651" s="317" t="s">
        <v>285</v>
      </c>
      <c r="G651" s="396">
        <v>3.9</v>
      </c>
      <c r="H651" s="252" t="s">
        <v>611</v>
      </c>
      <c r="I651" s="386">
        <f>+R912</f>
        <v>0.94232233454704462</v>
      </c>
      <c r="J651" s="326"/>
      <c r="K651" s="213">
        <f>+E651*G651*I651</f>
        <v>168.31761539679309</v>
      </c>
      <c r="L651" s="45" t="s">
        <v>37</v>
      </c>
      <c r="M651" s="1146"/>
      <c r="N651" s="1103"/>
      <c r="O651"/>
      <c r="P651" s="159"/>
      <c r="Q651" s="147"/>
      <c r="R651" s="149"/>
    </row>
    <row r="652" spans="1:18" ht="30" customHeight="1">
      <c r="A652" s="45"/>
      <c r="B652" s="1307"/>
      <c r="C652" s="1307"/>
      <c r="D652" s="1307"/>
      <c r="E652" s="153"/>
      <c r="F652" s="20"/>
      <c r="G652" s="395"/>
      <c r="H652" s="329"/>
      <c r="I652" s="20"/>
      <c r="J652" s="20" t="s">
        <v>379</v>
      </c>
      <c r="K652" s="213">
        <f>SUM(K639:K650)</f>
        <v>114435.54086504861</v>
      </c>
      <c r="L652" s="45" t="s">
        <v>37</v>
      </c>
      <c r="M652" s="1146"/>
      <c r="N652" s="988"/>
      <c r="O652"/>
      <c r="P652" s="159"/>
      <c r="Q652" s="147"/>
      <c r="R652" s="149"/>
    </row>
    <row r="653" spans="1:18" ht="30" customHeight="1" thickBot="1">
      <c r="A653" s="45"/>
      <c r="B653" s="45"/>
      <c r="C653" s="46"/>
      <c r="D653" s="46"/>
      <c r="E653" s="46"/>
      <c r="F653" s="46"/>
      <c r="G653" s="176" t="s">
        <v>312</v>
      </c>
      <c r="H653" s="46"/>
      <c r="I653" s="46"/>
      <c r="J653" s="178">
        <f>VLOOKUP(B636,'Mil Cost Premiums for RUCs'!$A$4:$R$266,18,FALSE)</f>
        <v>1.0485669999999998</v>
      </c>
      <c r="K653" s="21">
        <f>+K652*J653</f>
        <v>119993.33177824139</v>
      </c>
      <c r="L653" s="45" t="s">
        <v>37</v>
      </c>
      <c r="M653" s="1146"/>
      <c r="N653" s="988"/>
      <c r="O653"/>
      <c r="P653" s="159"/>
      <c r="Q653" s="147"/>
      <c r="R653" s="149"/>
    </row>
    <row r="654" spans="1:18" ht="30" customHeight="1" thickBot="1">
      <c r="A654" s="1165"/>
      <c r="B654" s="1166"/>
      <c r="C654" s="1166"/>
      <c r="D654" s="1166"/>
      <c r="E654" s="1166"/>
      <c r="F654" s="1166"/>
      <c r="G654" s="1166"/>
      <c r="H654" s="1166"/>
      <c r="I654" s="1166"/>
      <c r="J654" s="1166"/>
      <c r="K654" s="1166"/>
      <c r="L654" s="1167"/>
      <c r="M654" s="1146"/>
      <c r="N654" s="988"/>
      <c r="O654"/>
      <c r="P654" s="159"/>
      <c r="Q654" s="147"/>
      <c r="R654" s="149"/>
    </row>
    <row r="655" spans="1:18" ht="75" customHeight="1">
      <c r="A655" s="1160" t="s">
        <v>280</v>
      </c>
      <c r="B655" s="1161">
        <v>1760</v>
      </c>
      <c r="C655" s="1393" t="s">
        <v>690</v>
      </c>
      <c r="D655" s="1394"/>
      <c r="E655" s="74" t="s">
        <v>282</v>
      </c>
      <c r="F655" s="75" t="s">
        <v>37</v>
      </c>
      <c r="G655" s="181" t="s">
        <v>596</v>
      </c>
      <c r="H655" s="145">
        <v>4</v>
      </c>
      <c r="I655" s="74" t="s">
        <v>283</v>
      </c>
      <c r="J655" s="1199" t="s">
        <v>2611</v>
      </c>
      <c r="K655" s="1199"/>
      <c r="L655" s="1200"/>
      <c r="M655" s="1146"/>
      <c r="N655" s="282"/>
      <c r="O655" s="34"/>
      <c r="P655" s="283"/>
      <c r="Q655" s="282"/>
      <c r="R655" s="284"/>
    </row>
    <row r="656" spans="1:18" ht="30" customHeight="1">
      <c r="A656" s="35" t="s">
        <v>597</v>
      </c>
      <c r="B656" s="1300" t="s">
        <v>330</v>
      </c>
      <c r="C656" s="1301"/>
      <c r="D656" s="1302"/>
      <c r="E656" s="150" t="s">
        <v>295</v>
      </c>
      <c r="F656" s="150" t="s">
        <v>331</v>
      </c>
      <c r="G656" s="1204" t="s">
        <v>332</v>
      </c>
      <c r="H656" s="1205"/>
      <c r="I656" s="151" t="s">
        <v>305</v>
      </c>
      <c r="J656" s="151"/>
      <c r="K656" s="1206" t="s">
        <v>297</v>
      </c>
      <c r="L656" s="1207"/>
      <c r="M656" s="1146"/>
      <c r="N656" s="282"/>
      <c r="O656" s="34"/>
      <c r="P656" s="283"/>
      <c r="Q656" s="282"/>
      <c r="R656" s="284"/>
    </row>
    <row r="657" spans="1:21" s="59" customFormat="1" ht="30" customHeight="1">
      <c r="A657" s="45">
        <v>85110</v>
      </c>
      <c r="B657" s="1188" t="s">
        <v>691</v>
      </c>
      <c r="C657" s="1189"/>
      <c r="D657" s="1190"/>
      <c r="E657" s="354">
        <f>+P913/9</f>
        <v>7.666666666666667</v>
      </c>
      <c r="F657" s="20" t="s">
        <v>8</v>
      </c>
      <c r="G657" s="350">
        <v>481</v>
      </c>
      <c r="H657" s="252" t="s">
        <v>599</v>
      </c>
      <c r="I657" s="386">
        <f>+R909</f>
        <v>0.94232233454704462</v>
      </c>
      <c r="J657" s="326"/>
      <c r="K657" s="153">
        <f>+E657*G657*I657</f>
        <v>3474.9706623646516</v>
      </c>
      <c r="L657" s="20" t="s">
        <v>37</v>
      </c>
      <c r="M657" s="1146"/>
      <c r="N657" s="803"/>
      <c r="P657" s="308"/>
      <c r="Q657" s="307"/>
      <c r="R657" s="309"/>
    </row>
    <row r="658" spans="1:21" s="59" customFormat="1" ht="30" customHeight="1">
      <c r="A658" s="45">
        <v>93410</v>
      </c>
      <c r="B658" s="1188" t="s">
        <v>692</v>
      </c>
      <c r="C658" s="1189"/>
      <c r="D658" s="1190"/>
      <c r="E658" s="354">
        <f>+P910</f>
        <v>8.1999999999999993</v>
      </c>
      <c r="F658" s="317" t="s">
        <v>285</v>
      </c>
      <c r="G658" s="350">
        <f>1936/4</f>
        <v>484</v>
      </c>
      <c r="H658" s="252" t="s">
        <v>611</v>
      </c>
      <c r="I658" s="386">
        <f>+R910</f>
        <v>0.94232233454704462</v>
      </c>
      <c r="J658" s="20"/>
      <c r="K658" s="153">
        <f>+E658*G658*I658</f>
        <v>3739.8888813503104</v>
      </c>
      <c r="L658" s="20" t="s">
        <v>37</v>
      </c>
      <c r="M658" s="1146"/>
      <c r="N658" s="967"/>
      <c r="P658" s="308"/>
      <c r="Q658" s="307"/>
      <c r="R658" s="309"/>
    </row>
    <row r="659" spans="1:21" s="59" customFormat="1" ht="30" customHeight="1">
      <c r="A659" s="45">
        <v>93210</v>
      </c>
      <c r="B659" s="1188" t="s">
        <v>693</v>
      </c>
      <c r="C659" s="1189"/>
      <c r="D659" s="1190"/>
      <c r="E659" s="354">
        <f>+P912</f>
        <v>45.8</v>
      </c>
      <c r="F659" s="317" t="s">
        <v>285</v>
      </c>
      <c r="G659" s="350">
        <f>327/4</f>
        <v>81.75</v>
      </c>
      <c r="H659" s="252" t="s">
        <v>611</v>
      </c>
      <c r="I659" s="386">
        <f>+R912</f>
        <v>0.94232233454704462</v>
      </c>
      <c r="J659" s="20"/>
      <c r="K659" s="153">
        <f>+E659*G659*I659</f>
        <v>3528.1961688943165</v>
      </c>
      <c r="L659" s="20" t="s">
        <v>37</v>
      </c>
      <c r="M659" s="1146"/>
      <c r="N659" s="803"/>
      <c r="P659" s="308"/>
      <c r="Q659" s="307"/>
      <c r="R659" s="309"/>
    </row>
    <row r="660" spans="1:21" s="59" customFormat="1" ht="30" customHeight="1">
      <c r="A660" s="45"/>
      <c r="B660" s="1307"/>
      <c r="C660" s="1307"/>
      <c r="D660" s="1307"/>
      <c r="E660" s="153"/>
      <c r="F660" s="20"/>
      <c r="G660" s="395"/>
      <c r="H660" s="329"/>
      <c r="I660" s="20"/>
      <c r="J660" s="20" t="s">
        <v>379</v>
      </c>
      <c r="K660" s="153">
        <f>SUM(K657:K659)</f>
        <v>10743.055712609279</v>
      </c>
      <c r="L660" s="20" t="s">
        <v>37</v>
      </c>
      <c r="M660" s="1146"/>
      <c r="N660" s="803"/>
      <c r="P660" s="308"/>
      <c r="Q660" s="307"/>
      <c r="R660" s="309"/>
    </row>
    <row r="661" spans="1:21" s="59" customFormat="1" ht="30" customHeight="1" thickBot="1">
      <c r="A661" s="45"/>
      <c r="B661" s="45"/>
      <c r="C661" s="46"/>
      <c r="D661" s="46"/>
      <c r="E661" s="18"/>
      <c r="F661" s="18"/>
      <c r="G661" s="160" t="s">
        <v>312</v>
      </c>
      <c r="H661" s="18"/>
      <c r="I661" s="18"/>
      <c r="J661" s="139">
        <f>VLOOKUP(B655,'Mil Cost Premiums for RUCs'!$A$4:$R$266,18,FALSE)</f>
        <v>1.0485669999999998</v>
      </c>
      <c r="K661" s="23">
        <f>+K660*J661</f>
        <v>11264.813699403572</v>
      </c>
      <c r="L661" s="20" t="s">
        <v>37</v>
      </c>
      <c r="M661" s="1146"/>
      <c r="N661" s="981"/>
      <c r="O661" s="269"/>
      <c r="P661" s="308"/>
      <c r="Q661" s="307"/>
      <c r="R661" s="309"/>
    </row>
    <row r="662" spans="1:21" s="59" customFormat="1" ht="30" customHeight="1" thickBot="1">
      <c r="A662" s="1165"/>
      <c r="B662" s="1166"/>
      <c r="C662" s="1166"/>
      <c r="D662" s="1166"/>
      <c r="E662" s="1166"/>
      <c r="F662" s="1166"/>
      <c r="G662" s="1166"/>
      <c r="H662" s="1166"/>
      <c r="I662" s="1166"/>
      <c r="J662" s="1166"/>
      <c r="K662" s="1166"/>
      <c r="L662" s="1167"/>
      <c r="M662" s="1146"/>
      <c r="N662" s="981"/>
      <c r="P662" s="308"/>
      <c r="Q662" s="307"/>
      <c r="R662" s="309"/>
    </row>
    <row r="663" spans="1:21" s="59" customFormat="1" ht="75" customHeight="1">
      <c r="A663" s="27" t="s">
        <v>280</v>
      </c>
      <c r="B663" s="28">
        <v>1761</v>
      </c>
      <c r="C663" s="1393" t="s">
        <v>694</v>
      </c>
      <c r="D663" s="1394"/>
      <c r="E663" s="30" t="s">
        <v>282</v>
      </c>
      <c r="F663" s="31" t="s">
        <v>37</v>
      </c>
      <c r="G663" s="70" t="s">
        <v>695</v>
      </c>
      <c r="H663" s="186">
        <v>4</v>
      </c>
      <c r="I663" s="30" t="s">
        <v>283</v>
      </c>
      <c r="J663" s="1199" t="s">
        <v>2611</v>
      </c>
      <c r="K663" s="1199"/>
      <c r="L663" s="1200"/>
      <c r="M663" s="1146"/>
      <c r="N663" s="803"/>
      <c r="P663" s="308"/>
      <c r="Q663" s="307"/>
      <c r="R663" s="309"/>
    </row>
    <row r="664" spans="1:21" s="59" customFormat="1" ht="30" customHeight="1">
      <c r="A664" s="35" t="s">
        <v>597</v>
      </c>
      <c r="B664" s="1300" t="s">
        <v>330</v>
      </c>
      <c r="C664" s="1301"/>
      <c r="D664" s="1302"/>
      <c r="E664" s="362" t="s">
        <v>295</v>
      </c>
      <c r="F664" s="362" t="s">
        <v>331</v>
      </c>
      <c r="G664" s="1356" t="s">
        <v>332</v>
      </c>
      <c r="H664" s="1357"/>
      <c r="I664" s="151" t="s">
        <v>305</v>
      </c>
      <c r="J664" s="285" t="s">
        <v>308</v>
      </c>
      <c r="K664" s="1312" t="s">
        <v>297</v>
      </c>
      <c r="L664" s="1313"/>
      <c r="M664" s="1146"/>
      <c r="N664" s="803"/>
      <c r="P664" s="308"/>
      <c r="Q664" s="307"/>
      <c r="R664" s="309"/>
    </row>
    <row r="665" spans="1:21" s="59" customFormat="1" ht="30" customHeight="1">
      <c r="A665" s="45" t="s">
        <v>342</v>
      </c>
      <c r="B665" s="1176" t="s">
        <v>627</v>
      </c>
      <c r="C665" s="1177"/>
      <c r="D665" s="1178"/>
      <c r="E665" s="241">
        <f>+P890</f>
        <v>3107</v>
      </c>
      <c r="F665" s="317" t="s">
        <v>10</v>
      </c>
      <c r="G665" s="363"/>
      <c r="H665" s="252"/>
      <c r="I665" s="20">
        <f>+R890</f>
        <v>1.05</v>
      </c>
      <c r="J665" s="326">
        <v>1.06</v>
      </c>
      <c r="K665" s="213">
        <f>+E665*J665*I665</f>
        <v>3458.0910000000003</v>
      </c>
      <c r="L665" s="45" t="s">
        <v>37</v>
      </c>
      <c r="M665" s="1146"/>
      <c r="N665" s="615"/>
      <c r="P665" s="308"/>
      <c r="Q665" s="307"/>
      <c r="R665" s="309"/>
    </row>
    <row r="666" spans="1:21" s="59" customFormat="1" ht="30" customHeight="1">
      <c r="A666" s="45">
        <v>93410</v>
      </c>
      <c r="B666" s="1176" t="s">
        <v>696</v>
      </c>
      <c r="C666" s="1177"/>
      <c r="D666" s="1178"/>
      <c r="E666" s="354">
        <f>+P910</f>
        <v>8.1999999999999993</v>
      </c>
      <c r="F666" s="317" t="s">
        <v>285</v>
      </c>
      <c r="G666" s="350">
        <f>2.6*4</f>
        <v>10.4</v>
      </c>
      <c r="H666" s="252" t="s">
        <v>611</v>
      </c>
      <c r="I666" s="386">
        <f>+R910</f>
        <v>0.94232233454704462</v>
      </c>
      <c r="J666" s="20"/>
      <c r="K666" s="213">
        <f>+E666*G666*I666</f>
        <v>80.361248690171962</v>
      </c>
      <c r="L666" s="45" t="s">
        <v>37</v>
      </c>
      <c r="M666" s="1146"/>
      <c r="N666" s="615"/>
      <c r="P666" s="308"/>
      <c r="Q666" s="307"/>
      <c r="R666" s="309"/>
    </row>
    <row r="667" spans="1:21" s="59" customFormat="1" ht="30" customHeight="1">
      <c r="A667" s="45">
        <v>93410</v>
      </c>
      <c r="B667" s="1176" t="s">
        <v>697</v>
      </c>
      <c r="C667" s="1177"/>
      <c r="D667" s="1178"/>
      <c r="E667" s="354">
        <f>+P910</f>
        <v>8.1999999999999993</v>
      </c>
      <c r="F667" s="317" t="s">
        <v>285</v>
      </c>
      <c r="G667" s="350">
        <v>26</v>
      </c>
      <c r="H667" s="252" t="s">
        <v>611</v>
      </c>
      <c r="I667" s="386">
        <f>+R910</f>
        <v>0.94232233454704462</v>
      </c>
      <c r="J667" s="20"/>
      <c r="K667" s="213">
        <f>+E667*G667*I667</f>
        <v>200.90312172542991</v>
      </c>
      <c r="L667" s="45" t="s">
        <v>37</v>
      </c>
      <c r="M667" s="1146"/>
      <c r="N667" s="615"/>
      <c r="P667" s="308"/>
      <c r="Q667" s="307"/>
      <c r="R667" s="309"/>
    </row>
    <row r="668" spans="1:21" s="59" customFormat="1" ht="30" customHeight="1">
      <c r="A668" s="45">
        <v>93210</v>
      </c>
      <c r="B668" s="1176" t="s">
        <v>698</v>
      </c>
      <c r="C668" s="1177"/>
      <c r="D668" s="1178"/>
      <c r="E668" s="354">
        <f>+P912</f>
        <v>45.8</v>
      </c>
      <c r="F668" s="317" t="s">
        <v>285</v>
      </c>
      <c r="G668" s="350">
        <v>26</v>
      </c>
      <c r="H668" s="252" t="s">
        <v>611</v>
      </c>
      <c r="I668" s="386">
        <f>+R912</f>
        <v>0.94232233454704462</v>
      </c>
      <c r="J668" s="20"/>
      <c r="K668" s="213">
        <f>+E668*G668*I668</f>
        <v>1122.1174359786207</v>
      </c>
      <c r="L668" s="45" t="s">
        <v>37</v>
      </c>
      <c r="M668" s="1146"/>
      <c r="N668" s="803"/>
      <c r="P668" s="308"/>
      <c r="Q668" s="307"/>
      <c r="R668" s="309"/>
    </row>
    <row r="669" spans="1:21" s="59" customFormat="1" ht="30" customHeight="1">
      <c r="A669" s="45"/>
      <c r="B669" s="1224"/>
      <c r="C669" s="1224"/>
      <c r="D669" s="1224"/>
      <c r="E669" s="153"/>
      <c r="F669" s="20"/>
      <c r="G669" s="395"/>
      <c r="H669" s="329"/>
      <c r="I669" s="20"/>
      <c r="J669" s="20" t="s">
        <v>379</v>
      </c>
      <c r="K669" s="213">
        <f>SUM(K665:K668)</f>
        <v>4861.472806394223</v>
      </c>
      <c r="L669" s="45" t="s">
        <v>37</v>
      </c>
      <c r="M669" s="1146"/>
      <c r="N669" s="803"/>
      <c r="P669" s="308"/>
      <c r="Q669" s="307"/>
      <c r="R669" s="309"/>
    </row>
    <row r="670" spans="1:21" s="59" customFormat="1" ht="30" customHeight="1" thickBot="1">
      <c r="A670" s="45"/>
      <c r="B670" s="20"/>
      <c r="C670" s="18"/>
      <c r="D670" s="18"/>
      <c r="E670" s="18"/>
      <c r="F670" s="18"/>
      <c r="G670" s="160" t="s">
        <v>312</v>
      </c>
      <c r="H670" s="18"/>
      <c r="I670" s="18"/>
      <c r="J670" s="139">
        <f>VLOOKUP(B663,'Mil Cost Premiums for RUCs'!$A$4:$R$266,18,FALSE)</f>
        <v>1.0485669999999998</v>
      </c>
      <c r="K670" s="21">
        <f>+K669*J670</f>
        <v>5097.5799561823706</v>
      </c>
      <c r="L670" s="45" t="s">
        <v>37</v>
      </c>
      <c r="M670" s="1146"/>
      <c r="N670" s="803"/>
      <c r="P670" s="308"/>
      <c r="Q670" s="307"/>
      <c r="R670" s="309"/>
    </row>
    <row r="671" spans="1:21" ht="30" customHeight="1" thickBot="1">
      <c r="A671" s="1165"/>
      <c r="B671" s="1166"/>
      <c r="C671" s="1166"/>
      <c r="D671" s="1166"/>
      <c r="E671" s="1166"/>
      <c r="F671" s="1166"/>
      <c r="G671" s="1166"/>
      <c r="H671" s="1166"/>
      <c r="I671" s="1166"/>
      <c r="J671" s="1166"/>
      <c r="K671" s="1166"/>
      <c r="L671" s="1167"/>
      <c r="M671" s="1146"/>
      <c r="P671" s="34"/>
      <c r="Q671" s="34"/>
      <c r="R671" s="34"/>
      <c r="S671" s="44"/>
      <c r="T671" s="44"/>
      <c r="U671" s="34"/>
    </row>
    <row r="672" spans="1:21" s="38" customFormat="1" ht="75" customHeight="1">
      <c r="A672" s="162" t="s">
        <v>280</v>
      </c>
      <c r="B672" s="163">
        <v>1762</v>
      </c>
      <c r="C672" s="1290" t="s">
        <v>699</v>
      </c>
      <c r="D672" s="1291"/>
      <c r="E672" s="216" t="s">
        <v>282</v>
      </c>
      <c r="F672" s="217" t="s">
        <v>49</v>
      </c>
      <c r="G672" s="292" t="s">
        <v>596</v>
      </c>
      <c r="H672" s="397">
        <v>2</v>
      </c>
      <c r="I672" s="216" t="s">
        <v>283</v>
      </c>
      <c r="J672" s="1310" t="s">
        <v>2613</v>
      </c>
      <c r="K672" s="1310"/>
      <c r="L672" s="1311"/>
      <c r="M672" s="1146"/>
      <c r="N672" s="193"/>
      <c r="O672" s="1119"/>
      <c r="P672" s="39"/>
      <c r="Q672" s="39"/>
      <c r="R672" s="39"/>
      <c r="S672" s="84"/>
      <c r="T672" s="84"/>
      <c r="U672" s="39"/>
    </row>
    <row r="673" spans="1:21" s="32" customFormat="1" ht="30" customHeight="1">
      <c r="A673" s="167" t="s">
        <v>293</v>
      </c>
      <c r="B673" s="1324" t="s">
        <v>330</v>
      </c>
      <c r="C673" s="1325"/>
      <c r="D673" s="1326"/>
      <c r="E673" s="219" t="s">
        <v>295</v>
      </c>
      <c r="F673" s="219" t="s">
        <v>331</v>
      </c>
      <c r="G673" s="1327" t="s">
        <v>332</v>
      </c>
      <c r="H673" s="1328"/>
      <c r="I673" s="220" t="s">
        <v>305</v>
      </c>
      <c r="J673" s="285"/>
      <c r="K673" s="1312" t="s">
        <v>297</v>
      </c>
      <c r="L673" s="1313"/>
      <c r="M673" s="1146"/>
      <c r="N673" s="125"/>
      <c r="O673" s="33"/>
    </row>
    <row r="674" spans="1:21" ht="30" customHeight="1">
      <c r="A674" s="10">
        <v>85110</v>
      </c>
      <c r="B674" s="1162" t="s">
        <v>700</v>
      </c>
      <c r="C674" s="1163"/>
      <c r="D674" s="1164"/>
      <c r="E674" s="354">
        <f>+P909/9</f>
        <v>6.4444444444444446</v>
      </c>
      <c r="F674" s="10" t="s">
        <v>8</v>
      </c>
      <c r="G674" s="398">
        <v>128</v>
      </c>
      <c r="H674" s="399" t="s">
        <v>701</v>
      </c>
      <c r="I674" s="400">
        <f>+'2019 MILCON Inflation Table'!F16</f>
        <v>0.98039215686274506</v>
      </c>
      <c r="J674" s="10"/>
      <c r="K674" s="115">
        <f>+E674*G674*I674</f>
        <v>808.71459694989107</v>
      </c>
      <c r="L674" s="10" t="s">
        <v>49</v>
      </c>
      <c r="M674" s="1146"/>
    </row>
    <row r="675" spans="1:21" ht="30" customHeight="1">
      <c r="A675" s="10">
        <v>93410</v>
      </c>
      <c r="B675" s="1162" t="s">
        <v>702</v>
      </c>
      <c r="C675" s="1163"/>
      <c r="D675" s="1164"/>
      <c r="E675" s="354">
        <f>+P910</f>
        <v>8.1999999999999993</v>
      </c>
      <c r="F675" s="401" t="s">
        <v>285</v>
      </c>
      <c r="G675" s="398">
        <v>52</v>
      </c>
      <c r="H675" s="399" t="s">
        <v>703</v>
      </c>
      <c r="I675" s="400">
        <f>+'2019 MILCON Inflation Table'!F16</f>
        <v>0.98039215686274506</v>
      </c>
      <c r="J675" s="10"/>
      <c r="K675" s="115">
        <f>+E675*G675*I675</f>
        <v>418.03921568627447</v>
      </c>
      <c r="L675" s="10" t="s">
        <v>49</v>
      </c>
      <c r="M675" s="1146"/>
    </row>
    <row r="676" spans="1:21" ht="30" customHeight="1">
      <c r="A676" s="10">
        <v>93210</v>
      </c>
      <c r="B676" s="1162" t="s">
        <v>704</v>
      </c>
      <c r="C676" s="1163"/>
      <c r="D676" s="1164"/>
      <c r="E676" s="354">
        <f>+P912</f>
        <v>45.8</v>
      </c>
      <c r="F676" s="401" t="s">
        <v>285</v>
      </c>
      <c r="G676" s="398">
        <v>20</v>
      </c>
      <c r="H676" s="399" t="s">
        <v>703</v>
      </c>
      <c r="I676" s="400">
        <f>+'2019 MILCON Inflation Table'!F16</f>
        <v>0.98039215686274506</v>
      </c>
      <c r="J676" s="10"/>
      <c r="K676" s="115">
        <f>+E676*G676*I676</f>
        <v>898.03921568627447</v>
      </c>
      <c r="L676" s="10" t="s">
        <v>49</v>
      </c>
      <c r="M676" s="1146"/>
      <c r="P676" s="34"/>
      <c r="Q676" s="34"/>
      <c r="R676" s="34"/>
      <c r="S676" s="44"/>
      <c r="T676" s="44"/>
      <c r="U676" s="34"/>
    </row>
    <row r="677" spans="1:21" s="38" customFormat="1" ht="30" customHeight="1">
      <c r="A677" s="10"/>
      <c r="B677" s="1375"/>
      <c r="C677" s="1375"/>
      <c r="D677" s="1375"/>
      <c r="E677" s="115"/>
      <c r="F677" s="10"/>
      <c r="G677" s="402"/>
      <c r="H677" s="403"/>
      <c r="I677" s="10"/>
      <c r="J677" s="10" t="s">
        <v>379</v>
      </c>
      <c r="K677" s="115">
        <f>SUM(K674:K676)</f>
        <v>2124.79302832244</v>
      </c>
      <c r="L677" s="10" t="s">
        <v>49</v>
      </c>
      <c r="M677" s="1146"/>
      <c r="N677" s="193"/>
      <c r="O677" s="1119"/>
      <c r="P677" s="39"/>
      <c r="Q677" s="39"/>
      <c r="R677" s="39"/>
      <c r="S677" s="84"/>
      <c r="T677" s="84"/>
      <c r="U677" s="39"/>
    </row>
    <row r="678" spans="1:21" s="32" customFormat="1" ht="30" customHeight="1">
      <c r="A678" s="10"/>
      <c r="B678" s="10"/>
      <c r="C678" s="13"/>
      <c r="D678" s="13"/>
      <c r="E678" s="13"/>
      <c r="F678" s="13"/>
      <c r="G678" s="13"/>
      <c r="H678" s="13"/>
      <c r="I678" s="13"/>
      <c r="J678" s="10" t="s">
        <v>289</v>
      </c>
      <c r="K678" s="14">
        <f>+K677</f>
        <v>2124.79302832244</v>
      </c>
      <c r="L678" s="10" t="s">
        <v>49</v>
      </c>
      <c r="M678" s="1146"/>
      <c r="N678" s="125"/>
      <c r="O678" s="33"/>
    </row>
    <row r="679" spans="1:21" s="32" customFormat="1" ht="30" customHeight="1">
      <c r="A679" s="1276" t="s">
        <v>314</v>
      </c>
      <c r="B679" s="1420"/>
      <c r="C679" s="1421"/>
      <c r="D679" s="1270" t="s">
        <v>705</v>
      </c>
      <c r="E679" s="1371"/>
      <c r="F679" s="1371"/>
      <c r="G679" s="1371"/>
      <c r="H679" s="1371"/>
      <c r="I679" s="1371"/>
      <c r="J679" s="1371"/>
      <c r="K679" s="1371"/>
      <c r="L679" s="1372"/>
      <c r="M679" s="1146"/>
      <c r="N679" s="125"/>
      <c r="O679" s="33"/>
    </row>
    <row r="680" spans="1:21" s="32" customFormat="1" ht="30" customHeight="1">
      <c r="A680" s="1276" t="s">
        <v>316</v>
      </c>
      <c r="B680" s="1420"/>
      <c r="C680" s="1421"/>
      <c r="D680" s="1270" t="s">
        <v>706</v>
      </c>
      <c r="E680" s="1371"/>
      <c r="F680" s="1371"/>
      <c r="G680" s="1371"/>
      <c r="H680" s="1371"/>
      <c r="I680" s="1371"/>
      <c r="J680" s="1371"/>
      <c r="K680" s="1371"/>
      <c r="L680" s="1372"/>
      <c r="M680" s="1146"/>
      <c r="N680" s="125"/>
      <c r="O680" s="33"/>
    </row>
    <row r="681" spans="1:21" ht="30" customHeight="1">
      <c r="A681" s="1276" t="s">
        <v>317</v>
      </c>
      <c r="B681" s="1420"/>
      <c r="C681" s="1421"/>
      <c r="D681" s="1270" t="s">
        <v>2616</v>
      </c>
      <c r="E681" s="1371"/>
      <c r="F681" s="1371"/>
      <c r="G681" s="1371"/>
      <c r="H681" s="1371"/>
      <c r="I681" s="1371"/>
      <c r="J681" s="1371"/>
      <c r="K681" s="1371"/>
      <c r="L681" s="1372"/>
      <c r="M681" s="1146"/>
    </row>
    <row r="682" spans="1:21" ht="30" customHeight="1">
      <c r="A682" s="1276" t="s">
        <v>318</v>
      </c>
      <c r="B682" s="1420"/>
      <c r="C682" s="1421"/>
      <c r="D682" s="1270" t="s">
        <v>707</v>
      </c>
      <c r="E682" s="1371"/>
      <c r="F682" s="1371"/>
      <c r="G682" s="1371"/>
      <c r="H682" s="1371"/>
      <c r="I682" s="1371"/>
      <c r="J682" s="1371"/>
      <c r="K682" s="1371"/>
      <c r="L682" s="1372"/>
      <c r="M682" s="1146"/>
    </row>
    <row r="683" spans="1:21" ht="30" customHeight="1">
      <c r="A683" s="1276" t="s">
        <v>320</v>
      </c>
      <c r="B683" s="1420"/>
      <c r="C683" s="1421"/>
      <c r="D683" s="1270" t="s">
        <v>708</v>
      </c>
      <c r="E683" s="1371"/>
      <c r="F683" s="1371"/>
      <c r="G683" s="1371"/>
      <c r="H683" s="1371"/>
      <c r="I683" s="1371"/>
      <c r="J683" s="1371"/>
      <c r="K683" s="1371"/>
      <c r="L683" s="1372"/>
      <c r="M683" s="1146"/>
      <c r="N683" s="34"/>
      <c r="O683"/>
    </row>
    <row r="684" spans="1:21" s="38" customFormat="1" ht="30" customHeight="1">
      <c r="A684" s="1276" t="s">
        <v>322</v>
      </c>
      <c r="B684" s="1420"/>
      <c r="C684" s="1421"/>
      <c r="D684" s="1270" t="s">
        <v>709</v>
      </c>
      <c r="E684" s="1371"/>
      <c r="F684" s="1371"/>
      <c r="G684" s="1371"/>
      <c r="H684" s="1371"/>
      <c r="I684" s="1371"/>
      <c r="J684" s="1371"/>
      <c r="K684" s="1371"/>
      <c r="L684" s="1372"/>
      <c r="M684" s="1146"/>
      <c r="N684" s="39"/>
    </row>
    <row r="685" spans="1:21" ht="30" customHeight="1">
      <c r="A685" s="1276" t="s">
        <v>324</v>
      </c>
      <c r="B685" s="1420"/>
      <c r="C685" s="1421"/>
      <c r="D685" s="1270" t="s">
        <v>710</v>
      </c>
      <c r="E685" s="1371"/>
      <c r="F685" s="1371"/>
      <c r="G685" s="1371"/>
      <c r="H685" s="1371"/>
      <c r="I685" s="1371"/>
      <c r="J685" s="1371"/>
      <c r="K685" s="1371"/>
      <c r="L685" s="1372"/>
      <c r="M685" s="1146"/>
      <c r="N685" s="34"/>
    </row>
    <row r="686" spans="1:21" ht="48" customHeight="1">
      <c r="A686" s="1276" t="s">
        <v>711</v>
      </c>
      <c r="B686" s="1420"/>
      <c r="C686" s="1421"/>
      <c r="D686" s="1422" t="s">
        <v>712</v>
      </c>
      <c r="E686" s="1423"/>
      <c r="F686" s="1423"/>
      <c r="G686" s="1423"/>
      <c r="H686" s="1423"/>
      <c r="I686" s="1423"/>
      <c r="J686" s="1423"/>
      <c r="K686" s="1423"/>
      <c r="L686" s="1424"/>
      <c r="M686" s="1146"/>
      <c r="N686" s="34"/>
      <c r="O686"/>
    </row>
    <row r="687" spans="1:21" ht="60" customHeight="1" thickBot="1">
      <c r="A687" s="1331" t="s">
        <v>327</v>
      </c>
      <c r="B687" s="1256"/>
      <c r="C687" s="1257"/>
      <c r="D687" s="1425" t="s">
        <v>2617</v>
      </c>
      <c r="E687" s="1373"/>
      <c r="F687" s="1373"/>
      <c r="G687" s="1373"/>
      <c r="H687" s="1373"/>
      <c r="I687" s="1373"/>
      <c r="J687" s="1373"/>
      <c r="K687" s="1373"/>
      <c r="L687" s="1374"/>
      <c r="M687" s="1146"/>
      <c r="O687"/>
    </row>
    <row r="688" spans="1:21" ht="30" customHeight="1" thickBot="1">
      <c r="A688" s="1165"/>
      <c r="B688" s="1166"/>
      <c r="C688" s="1166"/>
      <c r="D688" s="1166"/>
      <c r="E688" s="1166"/>
      <c r="F688" s="1166"/>
      <c r="G688" s="1166"/>
      <c r="H688" s="1166"/>
      <c r="I688" s="1166"/>
      <c r="J688" s="1166"/>
      <c r="K688" s="1166"/>
      <c r="L688" s="1167"/>
      <c r="M688" s="1146"/>
      <c r="O688"/>
    </row>
    <row r="689" spans="1:15" ht="75" customHeight="1">
      <c r="A689" s="27" t="s">
        <v>280</v>
      </c>
      <c r="B689" s="28">
        <v>1763</v>
      </c>
      <c r="C689" s="1197" t="s">
        <v>713</v>
      </c>
      <c r="D689" s="1198"/>
      <c r="E689" s="30" t="s">
        <v>282</v>
      </c>
      <c r="F689" s="31" t="s">
        <v>37</v>
      </c>
      <c r="G689" s="70" t="s">
        <v>714</v>
      </c>
      <c r="H689" s="186">
        <v>1</v>
      </c>
      <c r="I689" s="30" t="s">
        <v>283</v>
      </c>
      <c r="J689" s="1199" t="s">
        <v>2611</v>
      </c>
      <c r="K689" s="1199"/>
      <c r="L689" s="1200"/>
      <c r="M689" s="1146"/>
      <c r="O689"/>
    </row>
    <row r="690" spans="1:15" ht="30" customHeight="1">
      <c r="A690" s="35" t="s">
        <v>597</v>
      </c>
      <c r="B690" s="1300" t="s">
        <v>330</v>
      </c>
      <c r="C690" s="1301"/>
      <c r="D690" s="1302"/>
      <c r="E690" s="362" t="s">
        <v>295</v>
      </c>
      <c r="F690" s="362" t="s">
        <v>331</v>
      </c>
      <c r="G690" s="1356" t="s">
        <v>332</v>
      </c>
      <c r="H690" s="1357"/>
      <c r="I690" s="77" t="s">
        <v>305</v>
      </c>
      <c r="J690" s="35" t="s">
        <v>308</v>
      </c>
      <c r="K690" s="1312" t="s">
        <v>297</v>
      </c>
      <c r="L690" s="1313"/>
      <c r="M690" s="1146"/>
      <c r="O690"/>
    </row>
    <row r="691" spans="1:15" ht="30" customHeight="1">
      <c r="A691" s="35"/>
      <c r="B691" s="1386" t="s">
        <v>715</v>
      </c>
      <c r="C691" s="1386"/>
      <c r="D691" s="1386"/>
      <c r="E691" s="362"/>
      <c r="F691" s="362"/>
      <c r="G691" s="392"/>
      <c r="H691" s="393"/>
      <c r="I691" s="404"/>
      <c r="J691" s="404"/>
      <c r="K691" s="362"/>
      <c r="L691" s="362"/>
      <c r="M691" s="1146"/>
      <c r="O691"/>
    </row>
    <row r="692" spans="1:15" ht="30" customHeight="1">
      <c r="A692" s="45" t="s">
        <v>538</v>
      </c>
      <c r="B692" s="1224" t="s">
        <v>716</v>
      </c>
      <c r="C692" s="1224"/>
      <c r="D692" s="1224"/>
      <c r="E692" s="354">
        <f>+P892</f>
        <v>11.17</v>
      </c>
      <c r="F692" s="45" t="s">
        <v>8</v>
      </c>
      <c r="G692" s="350">
        <f>9*468</f>
        <v>4212</v>
      </c>
      <c r="H692" s="259" t="s">
        <v>599</v>
      </c>
      <c r="I692" s="326">
        <f>+R892</f>
        <v>1.05</v>
      </c>
      <c r="J692" s="326">
        <f>+S892</f>
        <v>0.99065420560747663</v>
      </c>
      <c r="K692" s="213">
        <f t="shared" ref="K692:K700" si="5">+E692*G692*I692*J692</f>
        <v>48938.755626168226</v>
      </c>
      <c r="L692" s="45" t="s">
        <v>37</v>
      </c>
      <c r="M692" s="1146"/>
      <c r="O692"/>
    </row>
    <row r="693" spans="1:15" s="38" customFormat="1" ht="30" customHeight="1">
      <c r="A693" s="45" t="s">
        <v>480</v>
      </c>
      <c r="B693" s="1224" t="s">
        <v>717</v>
      </c>
      <c r="C693" s="1224"/>
      <c r="D693" s="1224"/>
      <c r="E693" s="354">
        <f>+P893</f>
        <v>17.95</v>
      </c>
      <c r="F693" s="45" t="s">
        <v>8</v>
      </c>
      <c r="G693" s="350">
        <f>2153*2</f>
        <v>4306</v>
      </c>
      <c r="H693" s="259" t="s">
        <v>599</v>
      </c>
      <c r="I693" s="326">
        <f>+R893</f>
        <v>1.07</v>
      </c>
      <c r="J693" s="326">
        <f>+S893</f>
        <v>0.99065420560747663</v>
      </c>
      <c r="K693" s="213">
        <f t="shared" si="5"/>
        <v>81930.262000000002</v>
      </c>
      <c r="L693" s="45" t="s">
        <v>37</v>
      </c>
      <c r="M693" s="1146"/>
      <c r="N693" s="193"/>
    </row>
    <row r="694" spans="1:15" ht="30" customHeight="1">
      <c r="A694" s="45" t="s">
        <v>600</v>
      </c>
      <c r="B694" s="1224" t="s">
        <v>635</v>
      </c>
      <c r="C694" s="1224"/>
      <c r="D694" s="1224"/>
      <c r="E694" s="354">
        <f>+P896</f>
        <v>800</v>
      </c>
      <c r="F694" s="262" t="s">
        <v>10</v>
      </c>
      <c r="G694" s="350">
        <v>11</v>
      </c>
      <c r="H694" s="259" t="s">
        <v>602</v>
      </c>
      <c r="I694" s="326">
        <f>+R896</f>
        <v>1.07</v>
      </c>
      <c r="J694" s="326">
        <f>+S896</f>
        <v>0.99065420560747663</v>
      </c>
      <c r="K694" s="213">
        <f t="shared" si="5"/>
        <v>9328</v>
      </c>
      <c r="L694" s="45" t="s">
        <v>37</v>
      </c>
      <c r="M694" s="1146"/>
      <c r="O694"/>
    </row>
    <row r="695" spans="1:15" ht="30" customHeight="1">
      <c r="A695" s="45" t="s">
        <v>461</v>
      </c>
      <c r="B695" s="1224" t="s">
        <v>718</v>
      </c>
      <c r="C695" s="1224"/>
      <c r="D695" s="1224"/>
      <c r="E695" s="354">
        <f>+P903</f>
        <v>17.125</v>
      </c>
      <c r="F695" s="262" t="s">
        <v>6</v>
      </c>
      <c r="G695" s="350">
        <f>656*2</f>
        <v>1312</v>
      </c>
      <c r="H695" s="259" t="s">
        <v>608</v>
      </c>
      <c r="I695" s="326">
        <f>+R903</f>
        <v>1.07</v>
      </c>
      <c r="J695" s="326">
        <f>+S903</f>
        <v>0.99065420560747663</v>
      </c>
      <c r="K695" s="213">
        <f t="shared" si="5"/>
        <v>23816.080000000002</v>
      </c>
      <c r="L695" s="45" t="s">
        <v>37</v>
      </c>
      <c r="M695" s="1146"/>
      <c r="O695"/>
    </row>
    <row r="696" spans="1:15" ht="30" customHeight="1">
      <c r="A696" s="45" t="s">
        <v>461</v>
      </c>
      <c r="B696" s="1224" t="s">
        <v>719</v>
      </c>
      <c r="C696" s="1224"/>
      <c r="D696" s="1224"/>
      <c r="E696" s="354">
        <f>+P904</f>
        <v>2617.5</v>
      </c>
      <c r="F696" s="262" t="s">
        <v>10</v>
      </c>
      <c r="G696" s="350">
        <v>2</v>
      </c>
      <c r="H696" s="259" t="s">
        <v>618</v>
      </c>
      <c r="I696" s="326">
        <f>+R904</f>
        <v>1.07</v>
      </c>
      <c r="J696" s="326">
        <f>+S904</f>
        <v>0.99065420560747663</v>
      </c>
      <c r="K696" s="213">
        <f t="shared" si="5"/>
        <v>5549.1</v>
      </c>
      <c r="L696" s="45" t="s">
        <v>37</v>
      </c>
      <c r="M696" s="1146"/>
      <c r="O696"/>
    </row>
    <row r="697" spans="1:15" ht="30" customHeight="1">
      <c r="A697" s="45" t="s">
        <v>600</v>
      </c>
      <c r="B697" s="1224" t="s">
        <v>685</v>
      </c>
      <c r="C697" s="1224"/>
      <c r="D697" s="1224"/>
      <c r="E697" s="354">
        <f>+P899</f>
        <v>985</v>
      </c>
      <c r="F697" s="262" t="s">
        <v>10</v>
      </c>
      <c r="G697" s="350">
        <v>11</v>
      </c>
      <c r="H697" s="259" t="s">
        <v>602</v>
      </c>
      <c r="I697" s="326">
        <f t="shared" ref="I697:J699" si="6">+R899</f>
        <v>1.07</v>
      </c>
      <c r="J697" s="326">
        <f t="shared" si="6"/>
        <v>0.99065420560747663</v>
      </c>
      <c r="K697" s="213">
        <f t="shared" si="5"/>
        <v>11485.1</v>
      </c>
      <c r="L697" s="45" t="s">
        <v>37</v>
      </c>
      <c r="M697" s="1146"/>
      <c r="O697"/>
    </row>
    <row r="698" spans="1:15" ht="30" customHeight="1">
      <c r="A698" s="45" t="s">
        <v>604</v>
      </c>
      <c r="B698" s="1224" t="s">
        <v>720</v>
      </c>
      <c r="C698" s="1224"/>
      <c r="D698" s="1224"/>
      <c r="E698" s="354">
        <f>+P900</f>
        <v>137.85</v>
      </c>
      <c r="F698" s="262" t="s">
        <v>10</v>
      </c>
      <c r="G698" s="350">
        <v>53</v>
      </c>
      <c r="H698" s="259" t="s">
        <v>602</v>
      </c>
      <c r="I698" s="326">
        <f t="shared" si="6"/>
        <v>1.07</v>
      </c>
      <c r="J698" s="326">
        <f t="shared" si="6"/>
        <v>0.99065420560747663</v>
      </c>
      <c r="K698" s="213">
        <f t="shared" si="5"/>
        <v>7744.4130000000005</v>
      </c>
      <c r="L698" s="45" t="s">
        <v>37</v>
      </c>
      <c r="M698" s="1146"/>
      <c r="O698"/>
    </row>
    <row r="699" spans="1:15" ht="30" customHeight="1">
      <c r="A699" s="45" t="s">
        <v>606</v>
      </c>
      <c r="B699" s="1176" t="s">
        <v>721</v>
      </c>
      <c r="C699" s="1177"/>
      <c r="D699" s="1178"/>
      <c r="E699" s="354">
        <f>+P901</f>
        <v>17.110000000000003</v>
      </c>
      <c r="F699" s="262" t="s">
        <v>6</v>
      </c>
      <c r="G699" s="350">
        <v>20825</v>
      </c>
      <c r="H699" s="259" t="s">
        <v>608</v>
      </c>
      <c r="I699" s="326">
        <f t="shared" si="6"/>
        <v>1.07</v>
      </c>
      <c r="J699" s="326">
        <f t="shared" si="6"/>
        <v>0.99065420560747663</v>
      </c>
      <c r="K699" s="213">
        <f t="shared" si="5"/>
        <v>377694.69500000007</v>
      </c>
      <c r="L699" s="45" t="s">
        <v>37</v>
      </c>
      <c r="M699" s="1146"/>
      <c r="O699"/>
    </row>
    <row r="700" spans="1:15" ht="30" customHeight="1">
      <c r="A700" s="45" t="s">
        <v>538</v>
      </c>
      <c r="B700" s="1176" t="s">
        <v>722</v>
      </c>
      <c r="C700" s="1177"/>
      <c r="D700" s="1178"/>
      <c r="E700" s="241">
        <f>+P893</f>
        <v>17.95</v>
      </c>
      <c r="F700" s="262" t="s">
        <v>8</v>
      </c>
      <c r="G700" s="350">
        <v>192</v>
      </c>
      <c r="H700" s="259" t="s">
        <v>599</v>
      </c>
      <c r="I700" s="326">
        <f>+R893</f>
        <v>1.07</v>
      </c>
      <c r="J700" s="326">
        <f>+S893</f>
        <v>0.99065420560747663</v>
      </c>
      <c r="K700" s="213">
        <f t="shared" si="5"/>
        <v>3653.1839999999997</v>
      </c>
      <c r="L700" s="45" t="s">
        <v>37</v>
      </c>
      <c r="M700" s="1146"/>
      <c r="O700"/>
    </row>
    <row r="701" spans="1:15" ht="30" customHeight="1">
      <c r="A701" s="45">
        <v>93410</v>
      </c>
      <c r="B701" s="1176" t="s">
        <v>723</v>
      </c>
      <c r="C701" s="1177"/>
      <c r="D701" s="1178"/>
      <c r="E701" s="354">
        <f>+P910</f>
        <v>8.1999999999999993</v>
      </c>
      <c r="F701" s="262" t="s">
        <v>285</v>
      </c>
      <c r="G701" s="350">
        <v>523</v>
      </c>
      <c r="H701" s="259" t="s">
        <v>611</v>
      </c>
      <c r="I701" s="386">
        <f>+R910</f>
        <v>0.94232233454704462</v>
      </c>
      <c r="J701" s="20"/>
      <c r="K701" s="213">
        <f>+E701*G701*I701</f>
        <v>4041.2435639384548</v>
      </c>
      <c r="L701" s="45" t="s">
        <v>37</v>
      </c>
      <c r="M701" s="1146"/>
      <c r="O701"/>
    </row>
    <row r="702" spans="1:15" s="38" customFormat="1" ht="30" customHeight="1">
      <c r="A702" s="45"/>
      <c r="B702" s="1307"/>
      <c r="C702" s="1307"/>
      <c r="D702" s="1307"/>
      <c r="E702" s="213"/>
      <c r="F702" s="45"/>
      <c r="G702" s="382"/>
      <c r="H702" s="264"/>
      <c r="I702" s="20"/>
      <c r="J702" s="20" t="s">
        <v>379</v>
      </c>
      <c r="K702" s="213">
        <f>SUM(K692:K701)</f>
        <v>574180.83319010667</v>
      </c>
      <c r="L702" s="45" t="s">
        <v>37</v>
      </c>
      <c r="M702" s="1146"/>
      <c r="N702" s="193"/>
    </row>
    <row r="703" spans="1:15" ht="30" customHeight="1" thickBot="1">
      <c r="A703" s="45"/>
      <c r="B703" s="45"/>
      <c r="C703" s="46"/>
      <c r="D703" s="46"/>
      <c r="E703" s="46"/>
      <c r="F703" s="46"/>
      <c r="G703" s="176" t="s">
        <v>312</v>
      </c>
      <c r="H703" s="46"/>
      <c r="I703" s="18"/>
      <c r="J703" s="139">
        <f>VLOOKUP(B689,'Mil Cost Premiums for RUCs'!$A$4:$R$266,18,FALSE)</f>
        <v>1.0485669999999998</v>
      </c>
      <c r="K703" s="21">
        <f>+K702*J703</f>
        <v>602067.07371565048</v>
      </c>
      <c r="L703" s="45" t="s">
        <v>37</v>
      </c>
      <c r="M703" s="1146"/>
      <c r="O703"/>
    </row>
    <row r="704" spans="1:15" ht="30" customHeight="1" thickBot="1">
      <c r="A704" s="1165"/>
      <c r="B704" s="1166"/>
      <c r="C704" s="1166"/>
      <c r="D704" s="1166"/>
      <c r="E704" s="1166"/>
      <c r="F704" s="1166"/>
      <c r="G704" s="1166"/>
      <c r="H704" s="1166"/>
      <c r="I704" s="1166"/>
      <c r="J704" s="1166"/>
      <c r="K704" s="1166"/>
      <c r="L704" s="1167"/>
      <c r="M704" s="1146"/>
      <c r="O704"/>
    </row>
    <row r="705" spans="1:21" ht="75" customHeight="1">
      <c r="A705" s="27" t="s">
        <v>280</v>
      </c>
      <c r="B705" s="28">
        <v>1764</v>
      </c>
      <c r="C705" s="1197" t="s">
        <v>724</v>
      </c>
      <c r="D705" s="1198"/>
      <c r="E705" s="30" t="s">
        <v>282</v>
      </c>
      <c r="F705" s="31" t="s">
        <v>49</v>
      </c>
      <c r="G705" s="70" t="s">
        <v>725</v>
      </c>
      <c r="H705" s="186">
        <v>1</v>
      </c>
      <c r="I705" s="30" t="s">
        <v>283</v>
      </c>
      <c r="J705" s="1199" t="s">
        <v>2611</v>
      </c>
      <c r="K705" s="1199"/>
      <c r="L705" s="1200"/>
      <c r="M705" s="1146"/>
      <c r="O705"/>
    </row>
    <row r="706" spans="1:21" ht="30" customHeight="1">
      <c r="A706" s="35" t="s">
        <v>597</v>
      </c>
      <c r="B706" s="1300" t="s">
        <v>330</v>
      </c>
      <c r="C706" s="1301"/>
      <c r="D706" s="1302"/>
      <c r="E706" s="362" t="s">
        <v>295</v>
      </c>
      <c r="F706" s="362" t="s">
        <v>331</v>
      </c>
      <c r="G706" s="1356" t="s">
        <v>332</v>
      </c>
      <c r="H706" s="1357"/>
      <c r="I706" s="77" t="s">
        <v>305</v>
      </c>
      <c r="J706" s="285" t="s">
        <v>308</v>
      </c>
      <c r="K706" s="1312" t="s">
        <v>297</v>
      </c>
      <c r="L706" s="1313"/>
      <c r="M706" s="1146"/>
      <c r="O706"/>
    </row>
    <row r="707" spans="1:21" ht="30" customHeight="1">
      <c r="A707" s="35"/>
      <c r="B707" s="1179" t="s">
        <v>726</v>
      </c>
      <c r="C707" s="1180"/>
      <c r="D707" s="1181"/>
      <c r="E707" s="362"/>
      <c r="F707" s="362"/>
      <c r="G707" s="392"/>
      <c r="H707" s="393"/>
      <c r="I707" s="404"/>
      <c r="J707" s="83"/>
      <c r="K707" s="362"/>
      <c r="L707" s="362"/>
      <c r="M707" s="1146"/>
      <c r="O707"/>
    </row>
    <row r="708" spans="1:21" ht="30" customHeight="1">
      <c r="A708" s="45" t="s">
        <v>538</v>
      </c>
      <c r="B708" s="1307" t="s">
        <v>727</v>
      </c>
      <c r="C708" s="1307"/>
      <c r="D708" s="1307"/>
      <c r="E708" s="354">
        <f>+P892</f>
        <v>11.17</v>
      </c>
      <c r="F708" s="20" t="s">
        <v>8</v>
      </c>
      <c r="G708" s="350">
        <f>12*468</f>
        <v>5616</v>
      </c>
      <c r="H708" s="252" t="s">
        <v>701</v>
      </c>
      <c r="I708" s="326">
        <f>+R892</f>
        <v>1.05</v>
      </c>
      <c r="J708" s="326">
        <f>+S892</f>
        <v>0.99065420560747663</v>
      </c>
      <c r="K708" s="213">
        <f t="shared" ref="K708:K715" si="7">+E708*G708*I708*J708</f>
        <v>65251.674168224308</v>
      </c>
      <c r="L708" s="45" t="s">
        <v>49</v>
      </c>
      <c r="M708" s="1146"/>
      <c r="N708" s="1103"/>
      <c r="O708"/>
      <c r="P708" s="159"/>
      <c r="Q708" s="147"/>
      <c r="R708" s="149"/>
    </row>
    <row r="709" spans="1:21" ht="30" customHeight="1">
      <c r="A709" s="45" t="s">
        <v>480</v>
      </c>
      <c r="B709" s="1307" t="s">
        <v>728</v>
      </c>
      <c r="C709" s="1307"/>
      <c r="D709" s="1307"/>
      <c r="E709" s="354">
        <f>+P893</f>
        <v>17.95</v>
      </c>
      <c r="F709" s="20" t="s">
        <v>8</v>
      </c>
      <c r="G709" s="350">
        <f>3767*5</f>
        <v>18835</v>
      </c>
      <c r="H709" s="252" t="s">
        <v>701</v>
      </c>
      <c r="I709" s="326">
        <f>+R893</f>
        <v>1.07</v>
      </c>
      <c r="J709" s="326">
        <f>+S893</f>
        <v>0.99065420560747663</v>
      </c>
      <c r="K709" s="213">
        <f t="shared" si="7"/>
        <v>358373.54500000004</v>
      </c>
      <c r="L709" s="45" t="s">
        <v>49</v>
      </c>
      <c r="M709" s="1146"/>
      <c r="N709" s="1103"/>
      <c r="O709"/>
      <c r="P709" s="159"/>
      <c r="Q709" s="147"/>
      <c r="R709" s="149"/>
    </row>
    <row r="710" spans="1:21" ht="30" customHeight="1">
      <c r="A710" s="45" t="s">
        <v>600</v>
      </c>
      <c r="B710" s="1307" t="s">
        <v>635</v>
      </c>
      <c r="C710" s="1307"/>
      <c r="D710" s="1307"/>
      <c r="E710" s="354">
        <f>+P896</f>
        <v>800</v>
      </c>
      <c r="F710" s="317" t="s">
        <v>10</v>
      </c>
      <c r="G710" s="350">
        <v>17</v>
      </c>
      <c r="H710" s="252" t="s">
        <v>729</v>
      </c>
      <c r="I710" s="326">
        <f>+R896</f>
        <v>1.07</v>
      </c>
      <c r="J710" s="326">
        <f>+S896</f>
        <v>0.99065420560747663</v>
      </c>
      <c r="K710" s="213">
        <f t="shared" si="7"/>
        <v>14416</v>
      </c>
      <c r="L710" s="45" t="s">
        <v>49</v>
      </c>
      <c r="M710" s="1146"/>
      <c r="N710" s="1103"/>
      <c r="O710"/>
      <c r="P710" s="159"/>
      <c r="Q710" s="147"/>
      <c r="R710" s="149"/>
    </row>
    <row r="711" spans="1:21" s="38" customFormat="1" ht="30" customHeight="1">
      <c r="A711" s="45" t="s">
        <v>461</v>
      </c>
      <c r="B711" s="1307" t="s">
        <v>730</v>
      </c>
      <c r="C711" s="1307"/>
      <c r="D711" s="1307"/>
      <c r="E711" s="354">
        <f>+P903</f>
        <v>17.125</v>
      </c>
      <c r="F711" s="317" t="s">
        <v>6</v>
      </c>
      <c r="G711" s="350">
        <f>1148*5</f>
        <v>5740</v>
      </c>
      <c r="H711" s="252" t="s">
        <v>731</v>
      </c>
      <c r="I711" s="326">
        <f>+R903</f>
        <v>1.07</v>
      </c>
      <c r="J711" s="326">
        <f>+S903</f>
        <v>0.99065420560747663</v>
      </c>
      <c r="K711" s="213">
        <f t="shared" si="7"/>
        <v>104195.35</v>
      </c>
      <c r="L711" s="45" t="s">
        <v>49</v>
      </c>
      <c r="M711" s="1146"/>
      <c r="N711" s="1103"/>
      <c r="P711" s="159"/>
      <c r="Q711" s="147"/>
      <c r="R711" s="149"/>
    </row>
    <row r="712" spans="1:21" ht="30" customHeight="1">
      <c r="A712" s="45" t="s">
        <v>461</v>
      </c>
      <c r="B712" s="1307" t="s">
        <v>719</v>
      </c>
      <c r="C712" s="1307"/>
      <c r="D712" s="1307"/>
      <c r="E712" s="354">
        <f>+P904</f>
        <v>2617.5</v>
      </c>
      <c r="F712" s="317" t="s">
        <v>10</v>
      </c>
      <c r="G712" s="350">
        <v>5</v>
      </c>
      <c r="H712" s="252" t="s">
        <v>729</v>
      </c>
      <c r="I712" s="326">
        <f>+R904</f>
        <v>1.07</v>
      </c>
      <c r="J712" s="326">
        <f>+S904</f>
        <v>0.99065420560747663</v>
      </c>
      <c r="K712" s="213">
        <f t="shared" si="7"/>
        <v>13872.75</v>
      </c>
      <c r="L712" s="45" t="s">
        <v>49</v>
      </c>
      <c r="M712" s="1146"/>
      <c r="N712" s="1103"/>
      <c r="O712"/>
      <c r="P712" s="159"/>
      <c r="Q712" s="147"/>
      <c r="R712" s="149"/>
    </row>
    <row r="713" spans="1:21" ht="30" customHeight="1">
      <c r="A713" s="45" t="s">
        <v>600</v>
      </c>
      <c r="B713" s="1307" t="s">
        <v>685</v>
      </c>
      <c r="C713" s="1307"/>
      <c r="D713" s="1307"/>
      <c r="E713" s="354">
        <f>+P899</f>
        <v>985</v>
      </c>
      <c r="F713" s="317" t="s">
        <v>10</v>
      </c>
      <c r="G713" s="350">
        <v>17</v>
      </c>
      <c r="H713" s="252" t="s">
        <v>729</v>
      </c>
      <c r="I713" s="406">
        <f t="shared" ref="I713:J715" si="8">+R899</f>
        <v>1.07</v>
      </c>
      <c r="J713" s="326">
        <f t="shared" si="8"/>
        <v>0.99065420560747663</v>
      </c>
      <c r="K713" s="213">
        <f t="shared" si="7"/>
        <v>17749.7</v>
      </c>
      <c r="L713" s="45" t="s">
        <v>49</v>
      </c>
      <c r="M713" s="1146"/>
      <c r="N713" s="282"/>
      <c r="O713" s="34"/>
      <c r="P713" s="283"/>
      <c r="Q713" s="282"/>
      <c r="R713" s="284"/>
    </row>
    <row r="714" spans="1:21" ht="30" customHeight="1">
      <c r="A714" s="45" t="s">
        <v>604</v>
      </c>
      <c r="B714" s="1307" t="s">
        <v>720</v>
      </c>
      <c r="C714" s="1307"/>
      <c r="D714" s="1307"/>
      <c r="E714" s="354">
        <f>+P900</f>
        <v>137.85</v>
      </c>
      <c r="F714" s="317" t="s">
        <v>10</v>
      </c>
      <c r="G714" s="350">
        <v>80</v>
      </c>
      <c r="H714" s="252" t="s">
        <v>729</v>
      </c>
      <c r="I714" s="326">
        <f t="shared" si="8"/>
        <v>1.07</v>
      </c>
      <c r="J714" s="326">
        <f t="shared" si="8"/>
        <v>0.99065420560747663</v>
      </c>
      <c r="K714" s="213">
        <f t="shared" si="7"/>
        <v>11689.68</v>
      </c>
      <c r="L714" s="45" t="s">
        <v>49</v>
      </c>
      <c r="M714" s="1146"/>
      <c r="N714" s="282"/>
      <c r="O714" s="34"/>
      <c r="P714" s="283"/>
      <c r="Q714" s="282"/>
      <c r="R714" s="284"/>
    </row>
    <row r="715" spans="1:21" ht="30" customHeight="1">
      <c r="A715" s="45" t="s">
        <v>606</v>
      </c>
      <c r="B715" s="1307" t="s">
        <v>732</v>
      </c>
      <c r="C715" s="1307"/>
      <c r="D715" s="1307"/>
      <c r="E715" s="354">
        <f>+P901</f>
        <v>17.110000000000003</v>
      </c>
      <c r="F715" s="317" t="s">
        <v>6</v>
      </c>
      <c r="G715" s="350">
        <f>6761*17</f>
        <v>114937</v>
      </c>
      <c r="H715" s="252" t="s">
        <v>731</v>
      </c>
      <c r="I715" s="326">
        <f t="shared" si="8"/>
        <v>1.07</v>
      </c>
      <c r="J715" s="326">
        <f t="shared" si="8"/>
        <v>0.99065420560747663</v>
      </c>
      <c r="K715" s="213">
        <f t="shared" si="7"/>
        <v>2084566.3942000004</v>
      </c>
      <c r="L715" s="45" t="s">
        <v>49</v>
      </c>
      <c r="M715" s="1146"/>
      <c r="N715" s="1103"/>
      <c r="O715"/>
      <c r="P715" s="159"/>
      <c r="Q715" s="147"/>
      <c r="R715" s="149"/>
    </row>
    <row r="716" spans="1:21" ht="30" customHeight="1">
      <c r="A716" s="45">
        <v>93410</v>
      </c>
      <c r="B716" s="1188" t="s">
        <v>733</v>
      </c>
      <c r="C716" s="1189"/>
      <c r="D716" s="1190"/>
      <c r="E716" s="241">
        <f>+P911</f>
        <v>1.1000000000000001</v>
      </c>
      <c r="F716" s="317" t="s">
        <v>3</v>
      </c>
      <c r="G716" s="350">
        <v>11525</v>
      </c>
      <c r="H716" s="252" t="s">
        <v>734</v>
      </c>
      <c r="I716" s="386">
        <f>+R911</f>
        <v>0.94232233454704462</v>
      </c>
      <c r="J716" s="326"/>
      <c r="K716" s="213">
        <f>+E716*G716*I716</f>
        <v>11946.29139622016</v>
      </c>
      <c r="L716" s="45" t="s">
        <v>49</v>
      </c>
      <c r="M716" s="1146"/>
      <c r="P716" s="34"/>
      <c r="Q716" s="34"/>
      <c r="R716" s="34"/>
      <c r="S716" s="44"/>
      <c r="T716" s="44"/>
      <c r="U716" s="34"/>
    </row>
    <row r="717" spans="1:21" ht="30" customHeight="1">
      <c r="A717" s="45" t="s">
        <v>538</v>
      </c>
      <c r="B717" s="1188" t="s">
        <v>735</v>
      </c>
      <c r="C717" s="1189"/>
      <c r="D717" s="1190"/>
      <c r="E717" s="354">
        <f>+P892</f>
        <v>11.17</v>
      </c>
      <c r="F717" s="20" t="s">
        <v>8</v>
      </c>
      <c r="G717" s="350">
        <f>481*6</f>
        <v>2886</v>
      </c>
      <c r="H717" s="252" t="s">
        <v>701</v>
      </c>
      <c r="I717" s="326">
        <f>+R892</f>
        <v>1.05</v>
      </c>
      <c r="J717" s="326">
        <f>+S892</f>
        <v>0.99065420560747663</v>
      </c>
      <c r="K717" s="213">
        <f>+E717*G717*I717*J717</f>
        <v>33532.110336448597</v>
      </c>
      <c r="L717" s="45" t="s">
        <v>49</v>
      </c>
      <c r="M717" s="1146"/>
      <c r="P717" s="34"/>
      <c r="Q717" s="34"/>
      <c r="R717" s="34"/>
      <c r="S717" s="44"/>
      <c r="T717" s="44"/>
      <c r="U717" s="34"/>
    </row>
    <row r="718" spans="1:21" s="32" customFormat="1" ht="30" customHeight="1">
      <c r="A718" s="45">
        <v>93410</v>
      </c>
      <c r="B718" s="1188" t="s">
        <v>736</v>
      </c>
      <c r="C718" s="1189"/>
      <c r="D718" s="1190"/>
      <c r="E718" s="354">
        <f>+P910</f>
        <v>8.1999999999999993</v>
      </c>
      <c r="F718" s="317" t="s">
        <v>285</v>
      </c>
      <c r="G718" s="350">
        <v>4709</v>
      </c>
      <c r="H718" s="252" t="s">
        <v>703</v>
      </c>
      <c r="I718" s="386">
        <f>+R910</f>
        <v>0.94232233454704462</v>
      </c>
      <c r="J718" s="20"/>
      <c r="K718" s="213">
        <f>+E718*G718*I718</f>
        <v>36386.646161732664</v>
      </c>
      <c r="L718" s="45" t="s">
        <v>49</v>
      </c>
      <c r="M718" s="1146"/>
      <c r="N718" s="125"/>
      <c r="O718" s="33"/>
    </row>
    <row r="719" spans="1:21" s="38" customFormat="1" ht="30" customHeight="1">
      <c r="A719" s="45">
        <v>93210</v>
      </c>
      <c r="B719" s="1188" t="s">
        <v>737</v>
      </c>
      <c r="C719" s="1189"/>
      <c r="D719" s="1190"/>
      <c r="E719" s="354">
        <f>+P912</f>
        <v>45.8</v>
      </c>
      <c r="F719" s="317" t="s">
        <v>285</v>
      </c>
      <c r="G719" s="350">
        <v>1063</v>
      </c>
      <c r="H719" s="252" t="s">
        <v>703</v>
      </c>
      <c r="I719" s="386">
        <f>+R912</f>
        <v>0.94232233454704462</v>
      </c>
      <c r="J719" s="20"/>
      <c r="K719" s="213">
        <f>+E719*G719*I719</f>
        <v>45877.339786356679</v>
      </c>
      <c r="L719" s="45" t="s">
        <v>49</v>
      </c>
      <c r="M719" s="1146"/>
      <c r="N719" s="968"/>
      <c r="O719" s="1119"/>
    </row>
    <row r="720" spans="1:21" s="32" customFormat="1" ht="30" customHeight="1">
      <c r="A720" s="45"/>
      <c r="B720" s="1307"/>
      <c r="C720" s="1307"/>
      <c r="D720" s="1307"/>
      <c r="E720" s="153"/>
      <c r="F720" s="20"/>
      <c r="G720" s="395"/>
      <c r="H720" s="329"/>
      <c r="I720" s="20"/>
      <c r="J720" s="20" t="s">
        <v>379</v>
      </c>
      <c r="K720" s="213">
        <f>SUM(K708:K719)</f>
        <v>2797857.4810489831</v>
      </c>
      <c r="L720" s="45" t="s">
        <v>49</v>
      </c>
      <c r="M720" s="1146"/>
      <c r="N720" s="125"/>
      <c r="O720" s="33"/>
    </row>
    <row r="721" spans="1:18" s="32" customFormat="1" ht="30" customHeight="1" thickBot="1">
      <c r="A721" s="45"/>
      <c r="B721" s="45"/>
      <c r="C721" s="46"/>
      <c r="D721" s="46"/>
      <c r="E721" s="18"/>
      <c r="F721" s="18"/>
      <c r="G721" s="160" t="s">
        <v>312</v>
      </c>
      <c r="H721" s="18"/>
      <c r="I721" s="18"/>
      <c r="J721" s="139">
        <f>VLOOKUP(B705,'Mil Cost Premiums for RUCs'!$A$4:$R$266,18,FALSE)</f>
        <v>1.0485669999999998</v>
      </c>
      <c r="K721" s="21">
        <f>+K720*J721</f>
        <v>2933741.0253310883</v>
      </c>
      <c r="L721" s="45" t="s">
        <v>49</v>
      </c>
      <c r="M721" s="1146"/>
      <c r="N721" s="125"/>
      <c r="O721" s="33"/>
    </row>
    <row r="722" spans="1:18" s="32" customFormat="1" ht="30" customHeight="1" thickBot="1">
      <c r="A722" s="1165"/>
      <c r="B722" s="1166"/>
      <c r="C722" s="1166"/>
      <c r="D722" s="1166"/>
      <c r="E722" s="1166"/>
      <c r="F722" s="1166"/>
      <c r="G722" s="1166"/>
      <c r="H722" s="1166"/>
      <c r="I722" s="1166"/>
      <c r="J722" s="1166"/>
      <c r="K722" s="1166"/>
      <c r="L722" s="1167"/>
      <c r="M722" s="1146"/>
      <c r="N722" s="125"/>
      <c r="O722" s="33"/>
    </row>
    <row r="723" spans="1:18" ht="75" customHeight="1">
      <c r="A723" s="27" t="s">
        <v>280</v>
      </c>
      <c r="B723" s="28">
        <v>1765</v>
      </c>
      <c r="C723" s="1197" t="s">
        <v>738</v>
      </c>
      <c r="D723" s="1198"/>
      <c r="E723" s="30" t="s">
        <v>282</v>
      </c>
      <c r="F723" s="31" t="s">
        <v>10</v>
      </c>
      <c r="G723" s="70" t="s">
        <v>281</v>
      </c>
      <c r="H723" s="186">
        <v>1</v>
      </c>
      <c r="I723" s="30" t="s">
        <v>283</v>
      </c>
      <c r="J723" s="1199" t="s">
        <v>2611</v>
      </c>
      <c r="K723" s="1199"/>
      <c r="L723" s="1200"/>
      <c r="M723" s="1146"/>
    </row>
    <row r="724" spans="1:18" ht="30" customHeight="1">
      <c r="A724" s="35" t="s">
        <v>597</v>
      </c>
      <c r="B724" s="1300" t="s">
        <v>330</v>
      </c>
      <c r="C724" s="1301"/>
      <c r="D724" s="1302"/>
      <c r="E724" s="362" t="s">
        <v>295</v>
      </c>
      <c r="F724" s="362" t="s">
        <v>331</v>
      </c>
      <c r="G724" s="1356" t="s">
        <v>332</v>
      </c>
      <c r="H724" s="1357"/>
      <c r="I724" s="77" t="s">
        <v>305</v>
      </c>
      <c r="J724" s="35" t="s">
        <v>308</v>
      </c>
      <c r="K724" s="1312" t="s">
        <v>297</v>
      </c>
      <c r="L724" s="1313"/>
      <c r="M724" s="1146"/>
    </row>
    <row r="725" spans="1:18" ht="30" customHeight="1">
      <c r="A725" s="35"/>
      <c r="B725" s="1383" t="s">
        <v>739</v>
      </c>
      <c r="C725" s="1384"/>
      <c r="D725" s="1385"/>
      <c r="E725" s="362"/>
      <c r="F725" s="362"/>
      <c r="G725" s="392"/>
      <c r="H725" s="393"/>
      <c r="I725" s="404"/>
      <c r="J725" s="404"/>
      <c r="K725" s="362"/>
      <c r="L725" s="362"/>
      <c r="M725" s="1146"/>
      <c r="N725" s="1103"/>
      <c r="O725"/>
      <c r="P725" s="159"/>
      <c r="Q725" s="147"/>
      <c r="R725" s="149"/>
    </row>
    <row r="726" spans="1:18" ht="30" customHeight="1">
      <c r="A726" s="45" t="s">
        <v>538</v>
      </c>
      <c r="B726" s="1188" t="s">
        <v>740</v>
      </c>
      <c r="C726" s="1189"/>
      <c r="D726" s="1190"/>
      <c r="E726" s="354">
        <f>+P892</f>
        <v>11.17</v>
      </c>
      <c r="F726" s="20" t="s">
        <v>8</v>
      </c>
      <c r="G726" s="350">
        <f>6*468</f>
        <v>2808</v>
      </c>
      <c r="H726" s="252" t="s">
        <v>741</v>
      </c>
      <c r="I726" s="326">
        <f>+R892</f>
        <v>1.05</v>
      </c>
      <c r="J726" s="326">
        <f>+S892</f>
        <v>0.99065420560747663</v>
      </c>
      <c r="K726" s="153">
        <f>+E726*G726*I726*J726</f>
        <v>32625.837084112154</v>
      </c>
      <c r="L726" s="45" t="s">
        <v>10</v>
      </c>
      <c r="M726" s="1146"/>
      <c r="N726" s="1103"/>
      <c r="O726"/>
      <c r="P726" s="159"/>
      <c r="Q726" s="147"/>
      <c r="R726" s="149"/>
    </row>
    <row r="727" spans="1:18" ht="30" customHeight="1">
      <c r="A727" s="45" t="s">
        <v>600</v>
      </c>
      <c r="B727" s="1188" t="s">
        <v>635</v>
      </c>
      <c r="C727" s="1189"/>
      <c r="D727" s="1190"/>
      <c r="E727" s="354">
        <f>+P896</f>
        <v>800</v>
      </c>
      <c r="F727" s="317" t="s">
        <v>10</v>
      </c>
      <c r="G727" s="350">
        <v>6</v>
      </c>
      <c r="H727" s="252" t="s">
        <v>742</v>
      </c>
      <c r="I727" s="326">
        <f>+R896</f>
        <v>1.07</v>
      </c>
      <c r="J727" s="326">
        <f>+S896</f>
        <v>0.99065420560747663</v>
      </c>
      <c r="K727" s="153">
        <f>+E727*G727*I727*J727</f>
        <v>5088</v>
      </c>
      <c r="L727" s="45" t="s">
        <v>10</v>
      </c>
      <c r="M727" s="1146"/>
      <c r="N727" s="1103"/>
      <c r="O727"/>
      <c r="P727" s="159"/>
      <c r="Q727" s="147"/>
      <c r="R727" s="149"/>
    </row>
    <row r="728" spans="1:18" ht="30" customHeight="1">
      <c r="A728" s="45" t="s">
        <v>600</v>
      </c>
      <c r="B728" s="1188" t="s">
        <v>685</v>
      </c>
      <c r="C728" s="1189"/>
      <c r="D728" s="1190"/>
      <c r="E728" s="354">
        <f>+P899</f>
        <v>985</v>
      </c>
      <c r="F728" s="317" t="s">
        <v>10</v>
      </c>
      <c r="G728" s="350">
        <v>6</v>
      </c>
      <c r="H728" s="252" t="s">
        <v>742</v>
      </c>
      <c r="I728" s="326">
        <f t="shared" ref="I728:J730" si="9">+R899</f>
        <v>1.07</v>
      </c>
      <c r="J728" s="326">
        <f t="shared" si="9"/>
        <v>0.99065420560747663</v>
      </c>
      <c r="K728" s="153">
        <f>+E728*G728*I728*J728</f>
        <v>6264.6</v>
      </c>
      <c r="L728" s="45" t="s">
        <v>10</v>
      </c>
      <c r="M728" s="1146"/>
      <c r="N728" s="1103"/>
      <c r="O728"/>
      <c r="P728" s="159"/>
      <c r="Q728" s="147"/>
      <c r="R728" s="149"/>
    </row>
    <row r="729" spans="1:18" s="38" customFormat="1" ht="30" customHeight="1">
      <c r="A729" s="45" t="s">
        <v>604</v>
      </c>
      <c r="B729" s="1307" t="s">
        <v>743</v>
      </c>
      <c r="C729" s="1307"/>
      <c r="D729" s="1307"/>
      <c r="E729" s="354">
        <f>+P900</f>
        <v>137.85</v>
      </c>
      <c r="F729" s="262" t="s">
        <v>10</v>
      </c>
      <c r="G729" s="350">
        <f>18*5</f>
        <v>90</v>
      </c>
      <c r="H729" s="259" t="s">
        <v>742</v>
      </c>
      <c r="I729" s="326">
        <f t="shared" si="9"/>
        <v>1.07</v>
      </c>
      <c r="J729" s="326">
        <f t="shared" si="9"/>
        <v>0.99065420560747663</v>
      </c>
      <c r="K729" s="213">
        <f>+E729*G729*I729*J729</f>
        <v>13150.89</v>
      </c>
      <c r="L729" s="45" t="s">
        <v>10</v>
      </c>
      <c r="M729" s="1146"/>
      <c r="N729" s="1103"/>
      <c r="P729" s="159"/>
      <c r="Q729" s="147"/>
      <c r="R729" s="149"/>
    </row>
    <row r="730" spans="1:18" ht="30" customHeight="1">
      <c r="A730" s="45" t="s">
        <v>606</v>
      </c>
      <c r="B730" s="1188" t="s">
        <v>744</v>
      </c>
      <c r="C730" s="1189"/>
      <c r="D730" s="1190"/>
      <c r="E730" s="354">
        <f>+P901</f>
        <v>17.110000000000003</v>
      </c>
      <c r="F730" s="262" t="s">
        <v>6</v>
      </c>
      <c r="G730" s="350">
        <f>2560*18</f>
        <v>46080</v>
      </c>
      <c r="H730" s="259" t="s">
        <v>745</v>
      </c>
      <c r="I730" s="326">
        <f t="shared" si="9"/>
        <v>1.07</v>
      </c>
      <c r="J730" s="326">
        <f t="shared" si="9"/>
        <v>0.99065420560747663</v>
      </c>
      <c r="K730" s="213">
        <f>+E730*G730*I730*J730</f>
        <v>835734.52800000017</v>
      </c>
      <c r="L730" s="45" t="s">
        <v>10</v>
      </c>
      <c r="M730" s="1146"/>
      <c r="N730" s="1103"/>
      <c r="O730"/>
      <c r="P730" s="159"/>
      <c r="Q730" s="147"/>
      <c r="R730" s="149"/>
    </row>
    <row r="731" spans="1:18" ht="30" customHeight="1">
      <c r="A731" s="45">
        <v>93410</v>
      </c>
      <c r="B731" s="1188" t="s">
        <v>733</v>
      </c>
      <c r="C731" s="1189"/>
      <c r="D731" s="1190"/>
      <c r="E731" s="241">
        <f>+P911</f>
        <v>1.1000000000000001</v>
      </c>
      <c r="F731" s="262" t="s">
        <v>3</v>
      </c>
      <c r="G731" s="350">
        <v>11525</v>
      </c>
      <c r="H731" s="259" t="s">
        <v>746</v>
      </c>
      <c r="I731" s="386">
        <f>+R911</f>
        <v>0.94232233454704462</v>
      </c>
      <c r="J731" s="326"/>
      <c r="K731" s="213">
        <f>+E731*G731*I731</f>
        <v>11946.29139622016</v>
      </c>
      <c r="L731" s="45" t="s">
        <v>10</v>
      </c>
      <c r="M731" s="1146"/>
      <c r="N731" s="282"/>
      <c r="O731" s="34"/>
      <c r="P731" s="283"/>
      <c r="Q731" s="282"/>
      <c r="R731" s="284"/>
    </row>
    <row r="732" spans="1:18" ht="30" customHeight="1">
      <c r="A732" s="45" t="s">
        <v>538</v>
      </c>
      <c r="B732" s="1188" t="s">
        <v>747</v>
      </c>
      <c r="C732" s="1189"/>
      <c r="D732" s="1190"/>
      <c r="E732" s="354">
        <f>+P892</f>
        <v>11.17</v>
      </c>
      <c r="F732" s="45" t="s">
        <v>8</v>
      </c>
      <c r="G732" s="350">
        <f>481*6</f>
        <v>2886</v>
      </c>
      <c r="H732" s="259" t="s">
        <v>741</v>
      </c>
      <c r="I732" s="326">
        <f>+R892</f>
        <v>1.05</v>
      </c>
      <c r="J732" s="326">
        <f>+S892</f>
        <v>0.99065420560747663</v>
      </c>
      <c r="K732" s="213">
        <f>+E732*G732*I732*J732</f>
        <v>33532.110336448597</v>
      </c>
      <c r="L732" s="45" t="s">
        <v>10</v>
      </c>
      <c r="M732" s="1146"/>
      <c r="N732" s="282"/>
      <c r="O732" s="34"/>
      <c r="P732" s="283"/>
      <c r="Q732" s="282"/>
      <c r="R732" s="284"/>
    </row>
    <row r="733" spans="1:18" ht="30" customHeight="1">
      <c r="A733" s="45">
        <v>93410</v>
      </c>
      <c r="B733" s="1188" t="s">
        <v>748</v>
      </c>
      <c r="C733" s="1189"/>
      <c r="D733" s="1190"/>
      <c r="E733" s="354">
        <f>+P910</f>
        <v>8.1999999999999993</v>
      </c>
      <c r="F733" s="262" t="s">
        <v>285</v>
      </c>
      <c r="G733" s="350">
        <v>279</v>
      </c>
      <c r="H733" s="259" t="s">
        <v>749</v>
      </c>
      <c r="I733" s="386">
        <f>+R910</f>
        <v>0.94232233454704462</v>
      </c>
      <c r="J733" s="20"/>
      <c r="K733" s="213">
        <f>+E733*G733*I733</f>
        <v>2155.8450369767284</v>
      </c>
      <c r="L733" s="45" t="s">
        <v>10</v>
      </c>
      <c r="M733" s="1146"/>
      <c r="N733" s="1103"/>
      <c r="O733"/>
      <c r="P733" s="159"/>
      <c r="Q733" s="147"/>
      <c r="R733" s="149"/>
    </row>
    <row r="734" spans="1:18" ht="30" customHeight="1">
      <c r="A734" s="45">
        <v>93210</v>
      </c>
      <c r="B734" s="1188" t="s">
        <v>750</v>
      </c>
      <c r="C734" s="1189"/>
      <c r="D734" s="1190"/>
      <c r="E734" s="354">
        <f>+P912</f>
        <v>45.8</v>
      </c>
      <c r="F734" s="262" t="s">
        <v>285</v>
      </c>
      <c r="G734" s="350">
        <v>215</v>
      </c>
      <c r="H734" s="259" t="s">
        <v>749</v>
      </c>
      <c r="I734" s="386">
        <f>+R912</f>
        <v>0.94232233454704462</v>
      </c>
      <c r="J734" s="20"/>
      <c r="K734" s="213">
        <f>+E734*G734*I734</f>
        <v>9279.0480282847475</v>
      </c>
      <c r="L734" s="45" t="s">
        <v>10</v>
      </c>
      <c r="M734" s="1146"/>
      <c r="N734" s="1103"/>
      <c r="O734"/>
      <c r="P734" s="159"/>
      <c r="Q734" s="147"/>
      <c r="R734" s="149"/>
    </row>
    <row r="735" spans="1:18" ht="30" customHeight="1">
      <c r="A735" s="45"/>
      <c r="B735" s="1307"/>
      <c r="C735" s="1307"/>
      <c r="D735" s="1307"/>
      <c r="E735" s="213"/>
      <c r="F735" s="45"/>
      <c r="G735" s="382"/>
      <c r="H735" s="264"/>
      <c r="I735" s="20"/>
      <c r="J735" s="20" t="s">
        <v>379</v>
      </c>
      <c r="K735" s="213">
        <f>SUM(K726:K734)</f>
        <v>949777.14988204266</v>
      </c>
      <c r="L735" s="45" t="s">
        <v>10</v>
      </c>
      <c r="M735" s="1146"/>
      <c r="N735" s="1103"/>
      <c r="O735"/>
      <c r="P735" s="159"/>
      <c r="Q735" s="147"/>
      <c r="R735" s="149"/>
    </row>
    <row r="736" spans="1:18" ht="30" customHeight="1" thickBot="1">
      <c r="A736" s="45"/>
      <c r="B736" s="45"/>
      <c r="C736" s="46"/>
      <c r="D736" s="46"/>
      <c r="E736" s="46"/>
      <c r="F736" s="46"/>
      <c r="G736" s="176" t="s">
        <v>312</v>
      </c>
      <c r="H736" s="46"/>
      <c r="I736" s="18"/>
      <c r="J736" s="139">
        <f>VLOOKUP(B723,'Mil Cost Premiums for RUCs'!$A$4:$R$266,18,FALSE)</f>
        <v>1.0485669999999998</v>
      </c>
      <c r="K736" s="21">
        <f>+K735*J736</f>
        <v>995904.9767203636</v>
      </c>
      <c r="L736" s="45" t="s">
        <v>10</v>
      </c>
      <c r="M736" s="1146"/>
      <c r="N736" s="1103"/>
      <c r="O736"/>
      <c r="P736" s="159"/>
      <c r="Q736" s="147"/>
      <c r="R736" s="149"/>
    </row>
    <row r="737" spans="1:18" s="38" customFormat="1" ht="30" customHeight="1" thickBot="1">
      <c r="A737" s="1165"/>
      <c r="B737" s="1166"/>
      <c r="C737" s="1166"/>
      <c r="D737" s="1166"/>
      <c r="E737" s="1166"/>
      <c r="F737" s="1166"/>
      <c r="G737" s="1166"/>
      <c r="H737" s="1166"/>
      <c r="I737" s="1166"/>
      <c r="J737" s="1166"/>
      <c r="K737" s="1166"/>
      <c r="L737" s="1167"/>
      <c r="M737" s="1146"/>
      <c r="N737" s="1103"/>
      <c r="P737" s="159"/>
      <c r="Q737" s="147"/>
      <c r="R737" s="149"/>
    </row>
    <row r="738" spans="1:18" ht="75" customHeight="1">
      <c r="A738" s="27" t="s">
        <v>280</v>
      </c>
      <c r="B738" s="28">
        <v>1766</v>
      </c>
      <c r="C738" s="1197" t="s">
        <v>751</v>
      </c>
      <c r="D738" s="1198"/>
      <c r="E738" s="30" t="s">
        <v>282</v>
      </c>
      <c r="F738" s="31" t="s">
        <v>10</v>
      </c>
      <c r="G738" s="70" t="s">
        <v>752</v>
      </c>
      <c r="H738" s="186">
        <v>1</v>
      </c>
      <c r="I738" s="30" t="s">
        <v>283</v>
      </c>
      <c r="J738" s="1199" t="s">
        <v>2611</v>
      </c>
      <c r="K738" s="1199"/>
      <c r="L738" s="1200"/>
      <c r="M738" s="1146"/>
      <c r="N738" s="1103"/>
      <c r="O738"/>
      <c r="P738" s="159"/>
      <c r="Q738" s="147"/>
      <c r="R738" s="149"/>
    </row>
    <row r="739" spans="1:18" ht="30" customHeight="1">
      <c r="A739" s="35" t="s">
        <v>597</v>
      </c>
      <c r="B739" s="1300" t="s">
        <v>330</v>
      </c>
      <c r="C739" s="1301"/>
      <c r="D739" s="1302"/>
      <c r="E739" s="362" t="s">
        <v>295</v>
      </c>
      <c r="F739" s="362" t="s">
        <v>331</v>
      </c>
      <c r="G739" s="1356" t="s">
        <v>332</v>
      </c>
      <c r="H739" s="1357"/>
      <c r="I739" s="77" t="s">
        <v>305</v>
      </c>
      <c r="J739" s="285" t="s">
        <v>308</v>
      </c>
      <c r="K739" s="1312" t="s">
        <v>297</v>
      </c>
      <c r="L739" s="1313"/>
      <c r="M739" s="1146"/>
      <c r="N739" s="1103"/>
      <c r="O739"/>
      <c r="P739" s="159"/>
      <c r="Q739" s="147"/>
      <c r="R739" s="149"/>
    </row>
    <row r="740" spans="1:18" ht="30" customHeight="1">
      <c r="A740" s="35"/>
      <c r="B740" s="1383" t="s">
        <v>753</v>
      </c>
      <c r="C740" s="1384"/>
      <c r="D740" s="1385"/>
      <c r="E740" s="362"/>
      <c r="F740" s="362"/>
      <c r="G740" s="392"/>
      <c r="H740" s="393"/>
      <c r="I740" s="83"/>
      <c r="J740" s="83"/>
      <c r="K740" s="362"/>
      <c r="L740" s="362"/>
      <c r="M740" s="1146"/>
      <c r="N740" s="282"/>
      <c r="O740" s="34"/>
      <c r="P740" s="283"/>
      <c r="Q740" s="282"/>
      <c r="R740" s="284"/>
    </row>
    <row r="741" spans="1:18" ht="30" customHeight="1">
      <c r="A741" s="45" t="s">
        <v>538</v>
      </c>
      <c r="B741" s="1188" t="s">
        <v>754</v>
      </c>
      <c r="C741" s="1189"/>
      <c r="D741" s="1190"/>
      <c r="E741" s="354">
        <f>+P891</f>
        <v>9.15</v>
      </c>
      <c r="F741" s="20" t="s">
        <v>8</v>
      </c>
      <c r="G741" s="350">
        <f>42*62</f>
        <v>2604</v>
      </c>
      <c r="H741" s="252" t="s">
        <v>741</v>
      </c>
      <c r="I741" s="326">
        <f>+R891</f>
        <v>1.05</v>
      </c>
      <c r="J741" s="326">
        <f>+S891</f>
        <v>0.99065420560747663</v>
      </c>
      <c r="K741" s="213">
        <f t="shared" ref="K741:K752" si="10">+E741*G741*I741*J741</f>
        <v>24784.117570093462</v>
      </c>
      <c r="L741" s="45" t="s">
        <v>10</v>
      </c>
      <c r="M741" s="1146"/>
      <c r="N741" s="282"/>
      <c r="O741" s="34"/>
      <c r="P741" s="283"/>
      <c r="Q741" s="282"/>
      <c r="R741" s="284"/>
    </row>
    <row r="742" spans="1:18" ht="30" customHeight="1">
      <c r="A742" s="45" t="s">
        <v>600</v>
      </c>
      <c r="B742" s="1188" t="s">
        <v>601</v>
      </c>
      <c r="C742" s="1189"/>
      <c r="D742" s="1190"/>
      <c r="E742" s="354">
        <f>+P895</f>
        <v>439.5</v>
      </c>
      <c r="F742" s="317" t="s">
        <v>10</v>
      </c>
      <c r="G742" s="350">
        <v>42</v>
      </c>
      <c r="H742" s="252" t="s">
        <v>742</v>
      </c>
      <c r="I742" s="326">
        <f>+R895</f>
        <v>1.07</v>
      </c>
      <c r="J742" s="326">
        <f>+S895</f>
        <v>0.99065420560747663</v>
      </c>
      <c r="K742" s="213">
        <f t="shared" si="10"/>
        <v>19566.54</v>
      </c>
      <c r="L742" s="45" t="s">
        <v>10</v>
      </c>
      <c r="M742" s="1146"/>
      <c r="N742" s="1103"/>
      <c r="O742"/>
      <c r="P742" s="159"/>
      <c r="Q742" s="147"/>
      <c r="R742" s="149"/>
    </row>
    <row r="743" spans="1:18" ht="30" customHeight="1">
      <c r="A743" s="45" t="s">
        <v>600</v>
      </c>
      <c r="B743" s="1307" t="s">
        <v>603</v>
      </c>
      <c r="C743" s="1307"/>
      <c r="D743" s="1307"/>
      <c r="E743" s="354">
        <f>+P897</f>
        <v>316</v>
      </c>
      <c r="F743" s="317" t="s">
        <v>10</v>
      </c>
      <c r="G743" s="350">
        <v>42</v>
      </c>
      <c r="H743" s="252" t="s">
        <v>742</v>
      </c>
      <c r="I743" s="326">
        <f>+R897</f>
        <v>1.07</v>
      </c>
      <c r="J743" s="326">
        <f>+S897</f>
        <v>0.99065420560747663</v>
      </c>
      <c r="K743" s="213">
        <f t="shared" si="10"/>
        <v>14068.320000000002</v>
      </c>
      <c r="L743" s="45" t="s">
        <v>10</v>
      </c>
      <c r="M743" s="1146"/>
      <c r="N743" s="1103"/>
      <c r="O743"/>
      <c r="P743" s="159"/>
      <c r="Q743" s="147"/>
      <c r="R743" s="149"/>
    </row>
    <row r="744" spans="1:18" ht="30" customHeight="1">
      <c r="A744" s="45" t="s">
        <v>538</v>
      </c>
      <c r="B744" s="1307" t="s">
        <v>755</v>
      </c>
      <c r="C744" s="1307"/>
      <c r="D744" s="1307"/>
      <c r="E744" s="354">
        <f>+P892</f>
        <v>11.17</v>
      </c>
      <c r="F744" s="20" t="s">
        <v>8</v>
      </c>
      <c r="G744" s="350">
        <f>25*468</f>
        <v>11700</v>
      </c>
      <c r="H744" s="252" t="s">
        <v>741</v>
      </c>
      <c r="I744" s="326">
        <f>+R892</f>
        <v>1.05</v>
      </c>
      <c r="J744" s="326">
        <f>+S892</f>
        <v>0.99065420560747663</v>
      </c>
      <c r="K744" s="213">
        <f t="shared" si="10"/>
        <v>135940.9878504673</v>
      </c>
      <c r="L744" s="45" t="s">
        <v>10</v>
      </c>
      <c r="M744" s="1146"/>
      <c r="N744" s="1103"/>
      <c r="O744"/>
      <c r="P744" s="159"/>
      <c r="Q744" s="147"/>
      <c r="R744" s="149"/>
    </row>
    <row r="745" spans="1:18" ht="30" customHeight="1">
      <c r="A745" s="45" t="s">
        <v>480</v>
      </c>
      <c r="B745" s="1307" t="s">
        <v>756</v>
      </c>
      <c r="C745" s="1307"/>
      <c r="D745" s="1307"/>
      <c r="E745" s="354">
        <f>+P893</f>
        <v>17.95</v>
      </c>
      <c r="F745" s="20" t="s">
        <v>8</v>
      </c>
      <c r="G745" s="350">
        <f>2152*4</f>
        <v>8608</v>
      </c>
      <c r="H745" s="252" t="s">
        <v>741</v>
      </c>
      <c r="I745" s="326">
        <f>+R893</f>
        <v>1.07</v>
      </c>
      <c r="J745" s="326">
        <f>+S893</f>
        <v>0.99065420560747663</v>
      </c>
      <c r="K745" s="213">
        <f t="shared" si="10"/>
        <v>163784.41600000003</v>
      </c>
      <c r="L745" s="45" t="s">
        <v>10</v>
      </c>
      <c r="M745" s="1146"/>
      <c r="N745" s="1103"/>
      <c r="O745"/>
      <c r="P745" s="159"/>
      <c r="Q745" s="147"/>
      <c r="R745" s="149"/>
    </row>
    <row r="746" spans="1:18" ht="30" customHeight="1">
      <c r="A746" s="45" t="s">
        <v>480</v>
      </c>
      <c r="B746" s="1307" t="s">
        <v>757</v>
      </c>
      <c r="C746" s="1307"/>
      <c r="D746" s="1307"/>
      <c r="E746" s="354">
        <f>+P893</f>
        <v>17.95</v>
      </c>
      <c r="F746" s="20" t="s">
        <v>8</v>
      </c>
      <c r="G746" s="350">
        <f>80.7*7</f>
        <v>564.9</v>
      </c>
      <c r="H746" s="252" t="s">
        <v>741</v>
      </c>
      <c r="I746" s="326">
        <f>+R893</f>
        <v>1.07</v>
      </c>
      <c r="J746" s="326">
        <f>+S893</f>
        <v>0.99065420560747663</v>
      </c>
      <c r="K746" s="213">
        <f t="shared" si="10"/>
        <v>10748.3523</v>
      </c>
      <c r="L746" s="45" t="s">
        <v>10</v>
      </c>
      <c r="M746" s="1146"/>
      <c r="N746" s="1103"/>
      <c r="O746"/>
      <c r="P746" s="159"/>
      <c r="Q746" s="147"/>
      <c r="R746" s="149"/>
    </row>
    <row r="747" spans="1:18" ht="30" customHeight="1">
      <c r="A747" s="45" t="s">
        <v>600</v>
      </c>
      <c r="B747" s="1307" t="s">
        <v>635</v>
      </c>
      <c r="C747" s="1307"/>
      <c r="D747" s="1307"/>
      <c r="E747" s="354">
        <f>+P896</f>
        <v>800</v>
      </c>
      <c r="F747" s="317" t="s">
        <v>10</v>
      </c>
      <c r="G747" s="350">
        <v>36</v>
      </c>
      <c r="H747" s="252" t="s">
        <v>742</v>
      </c>
      <c r="I747" s="326">
        <f>+R896</f>
        <v>1.07</v>
      </c>
      <c r="J747" s="326">
        <f>+S896</f>
        <v>0.99065420560747663</v>
      </c>
      <c r="K747" s="213">
        <f t="shared" si="10"/>
        <v>30528</v>
      </c>
      <c r="L747" s="45" t="s">
        <v>10</v>
      </c>
      <c r="M747" s="1146"/>
      <c r="N747" s="1103"/>
      <c r="O747"/>
      <c r="P747" s="159"/>
      <c r="Q747" s="147"/>
      <c r="R747" s="149"/>
    </row>
    <row r="748" spans="1:18" s="38" customFormat="1" ht="30" customHeight="1">
      <c r="A748" s="45" t="s">
        <v>461</v>
      </c>
      <c r="B748" s="1307" t="s">
        <v>758</v>
      </c>
      <c r="C748" s="1307"/>
      <c r="D748" s="1307"/>
      <c r="E748" s="354">
        <f>+P903</f>
        <v>17.125</v>
      </c>
      <c r="F748" s="317" t="s">
        <v>6</v>
      </c>
      <c r="G748" s="350">
        <v>2967</v>
      </c>
      <c r="H748" s="252" t="s">
        <v>745</v>
      </c>
      <c r="I748" s="326">
        <f>+R903</f>
        <v>1.07</v>
      </c>
      <c r="J748" s="326">
        <f>+S903</f>
        <v>0.99065420560747663</v>
      </c>
      <c r="K748" s="213">
        <f t="shared" si="10"/>
        <v>53858.467500000006</v>
      </c>
      <c r="L748" s="45" t="s">
        <v>10</v>
      </c>
      <c r="M748" s="1146"/>
      <c r="N748" s="1103"/>
      <c r="P748" s="159"/>
      <c r="Q748" s="147"/>
      <c r="R748" s="149"/>
    </row>
    <row r="749" spans="1:18" ht="30" customHeight="1">
      <c r="A749" s="45" t="s">
        <v>461</v>
      </c>
      <c r="B749" s="1224" t="s">
        <v>759</v>
      </c>
      <c r="C749" s="1224"/>
      <c r="D749" s="1224"/>
      <c r="E749" s="354">
        <f>+P904</f>
        <v>2617.5</v>
      </c>
      <c r="F749" s="262" t="s">
        <v>10</v>
      </c>
      <c r="G749" s="350">
        <v>11</v>
      </c>
      <c r="H749" s="259" t="s">
        <v>742</v>
      </c>
      <c r="I749" s="326">
        <f>+R904</f>
        <v>1.07</v>
      </c>
      <c r="J749" s="326">
        <f>+S904</f>
        <v>0.99065420560747663</v>
      </c>
      <c r="K749" s="213">
        <f t="shared" si="10"/>
        <v>30520.050000000003</v>
      </c>
      <c r="L749" s="45" t="s">
        <v>10</v>
      </c>
      <c r="M749" s="1146"/>
      <c r="N749" s="1103"/>
      <c r="O749"/>
      <c r="P749" s="159"/>
      <c r="Q749" s="147"/>
      <c r="R749" s="149"/>
    </row>
    <row r="750" spans="1:18" ht="30" customHeight="1">
      <c r="A750" s="45" t="s">
        <v>600</v>
      </c>
      <c r="B750" s="1307" t="s">
        <v>685</v>
      </c>
      <c r="C750" s="1307"/>
      <c r="D750" s="1307"/>
      <c r="E750" s="354">
        <f>+P899</f>
        <v>985</v>
      </c>
      <c r="F750" s="262" t="s">
        <v>10</v>
      </c>
      <c r="G750" s="350">
        <v>36</v>
      </c>
      <c r="H750" s="259" t="s">
        <v>742</v>
      </c>
      <c r="I750" s="326">
        <f t="shared" ref="I750:J752" si="11">+R899</f>
        <v>1.07</v>
      </c>
      <c r="J750" s="326">
        <f t="shared" si="11"/>
        <v>0.99065420560747663</v>
      </c>
      <c r="K750" s="213">
        <f t="shared" si="10"/>
        <v>37587.600000000006</v>
      </c>
      <c r="L750" s="45" t="s">
        <v>10</v>
      </c>
      <c r="M750" s="1146"/>
      <c r="N750" s="1103"/>
      <c r="O750"/>
      <c r="P750" s="159"/>
      <c r="Q750" s="147"/>
      <c r="R750" s="149"/>
    </row>
    <row r="751" spans="1:18" ht="30" customHeight="1">
      <c r="A751" s="45" t="s">
        <v>604</v>
      </c>
      <c r="B751" s="1307" t="s">
        <v>760</v>
      </c>
      <c r="C751" s="1307"/>
      <c r="D751" s="1307"/>
      <c r="E751" s="354">
        <f>+P900</f>
        <v>137.85</v>
      </c>
      <c r="F751" s="262" t="s">
        <v>10</v>
      </c>
      <c r="G751" s="407">
        <f>(5*25)+(4*53)</f>
        <v>337</v>
      </c>
      <c r="H751" s="259" t="s">
        <v>742</v>
      </c>
      <c r="I751" s="326">
        <f t="shared" si="11"/>
        <v>1.07</v>
      </c>
      <c r="J751" s="326">
        <f t="shared" si="11"/>
        <v>0.99065420560747663</v>
      </c>
      <c r="K751" s="213">
        <f t="shared" si="10"/>
        <v>49242.777000000002</v>
      </c>
      <c r="L751" s="45" t="s">
        <v>10</v>
      </c>
      <c r="M751" s="1146"/>
      <c r="N751" s="282"/>
      <c r="O751" s="34"/>
      <c r="P751" s="283"/>
      <c r="Q751" s="282"/>
      <c r="R751" s="284"/>
    </row>
    <row r="752" spans="1:18" ht="30" customHeight="1">
      <c r="A752" s="45" t="s">
        <v>606</v>
      </c>
      <c r="B752" s="1188" t="s">
        <v>761</v>
      </c>
      <c r="C752" s="1189"/>
      <c r="D752" s="1190"/>
      <c r="E752" s="354">
        <f>+P901</f>
        <v>17.110000000000003</v>
      </c>
      <c r="F752" s="262" t="s">
        <v>6</v>
      </c>
      <c r="G752" s="350">
        <f>5105*78</f>
        <v>398190</v>
      </c>
      <c r="H752" s="259" t="s">
        <v>745</v>
      </c>
      <c r="I752" s="326">
        <f t="shared" si="11"/>
        <v>1.07</v>
      </c>
      <c r="J752" s="326">
        <f t="shared" si="11"/>
        <v>0.99065420560747663</v>
      </c>
      <c r="K752" s="213">
        <f t="shared" si="10"/>
        <v>7221812.7540000016</v>
      </c>
      <c r="L752" s="45" t="s">
        <v>10</v>
      </c>
      <c r="M752" s="1146"/>
      <c r="N752" s="282"/>
      <c r="O752" s="34"/>
      <c r="P752" s="283"/>
      <c r="Q752" s="282"/>
      <c r="R752" s="284"/>
    </row>
    <row r="753" spans="1:18" ht="30" customHeight="1">
      <c r="A753" s="45">
        <v>93410</v>
      </c>
      <c r="B753" s="1188" t="s">
        <v>762</v>
      </c>
      <c r="C753" s="1189"/>
      <c r="D753" s="1190"/>
      <c r="E753" s="241">
        <f>+P911</f>
        <v>1.1000000000000001</v>
      </c>
      <c r="F753" s="262" t="s">
        <v>3</v>
      </c>
      <c r="G753" s="350">
        <v>2488</v>
      </c>
      <c r="H753" s="259" t="s">
        <v>746</v>
      </c>
      <c r="I753" s="383">
        <f>+R911</f>
        <v>0.94232233454704462</v>
      </c>
      <c r="J753" s="20"/>
      <c r="K753" s="213">
        <f>+E753*G753*I753</f>
        <v>2578.9477651883517</v>
      </c>
      <c r="L753" s="45" t="s">
        <v>10</v>
      </c>
      <c r="M753" s="1146"/>
      <c r="N753" s="1103"/>
      <c r="O753"/>
      <c r="P753" s="159"/>
      <c r="Q753" s="147"/>
      <c r="R753" s="149"/>
    </row>
    <row r="754" spans="1:18" ht="30" customHeight="1">
      <c r="A754" s="45" t="s">
        <v>538</v>
      </c>
      <c r="B754" s="1188" t="s">
        <v>763</v>
      </c>
      <c r="C754" s="1189"/>
      <c r="D754" s="1190"/>
      <c r="E754" s="354">
        <f>+P892</f>
        <v>11.17</v>
      </c>
      <c r="F754" s="45" t="s">
        <v>8</v>
      </c>
      <c r="G754" s="350">
        <f>481*2</f>
        <v>962</v>
      </c>
      <c r="H754" s="259" t="s">
        <v>741</v>
      </c>
      <c r="I754" s="20">
        <f>+R892</f>
        <v>1.05</v>
      </c>
      <c r="J754" s="326">
        <f>+S892</f>
        <v>0.99065420560747663</v>
      </c>
      <c r="K754" s="213">
        <f>+E754*G754*I754*J754</f>
        <v>11177.370112149532</v>
      </c>
      <c r="L754" s="45" t="s">
        <v>10</v>
      </c>
      <c r="M754" s="1146"/>
      <c r="N754" s="1103"/>
      <c r="O754"/>
      <c r="P754" s="159"/>
      <c r="Q754" s="147"/>
      <c r="R754" s="149"/>
    </row>
    <row r="755" spans="1:18" ht="30" customHeight="1">
      <c r="A755" s="45" t="s">
        <v>538</v>
      </c>
      <c r="B755" s="1188" t="s">
        <v>764</v>
      </c>
      <c r="C755" s="1189"/>
      <c r="D755" s="1190"/>
      <c r="E755" s="354">
        <f>+P891</f>
        <v>9.15</v>
      </c>
      <c r="F755" s="45" t="s">
        <v>8</v>
      </c>
      <c r="G755" s="350">
        <f>128*10</f>
        <v>1280</v>
      </c>
      <c r="H755" s="259" t="s">
        <v>741</v>
      </c>
      <c r="I755" s="20">
        <f>+R891</f>
        <v>1.05</v>
      </c>
      <c r="J755" s="326">
        <f>+S891</f>
        <v>0.99065420560747663</v>
      </c>
      <c r="K755" s="213">
        <f>+E755*G755*I755*J755</f>
        <v>12182.669158878505</v>
      </c>
      <c r="L755" s="45" t="s">
        <v>10</v>
      </c>
      <c r="M755" s="1146"/>
      <c r="N755" s="1103"/>
      <c r="O755"/>
      <c r="P755" s="159"/>
      <c r="Q755" s="147"/>
      <c r="R755" s="149"/>
    </row>
    <row r="756" spans="1:18" ht="30" customHeight="1">
      <c r="A756" s="45">
        <v>93410</v>
      </c>
      <c r="B756" s="1188" t="s">
        <v>765</v>
      </c>
      <c r="C756" s="1189"/>
      <c r="D756" s="1190"/>
      <c r="E756" s="354">
        <f>+P910</f>
        <v>8.1999999999999993</v>
      </c>
      <c r="F756" s="262" t="s">
        <v>285</v>
      </c>
      <c r="G756" s="350">
        <v>3662</v>
      </c>
      <c r="H756" s="259" t="s">
        <v>749</v>
      </c>
      <c r="I756" s="383">
        <f>+R910</f>
        <v>0.94232233454704462</v>
      </c>
      <c r="J756" s="20"/>
      <c r="K756" s="213">
        <f>+E756*G756*I756</f>
        <v>28296.431990712474</v>
      </c>
      <c r="L756" s="45" t="s">
        <v>10</v>
      </c>
      <c r="M756" s="1146"/>
      <c r="N756" s="1103"/>
      <c r="O756"/>
      <c r="P756" s="159"/>
      <c r="Q756" s="147"/>
      <c r="R756" s="149"/>
    </row>
    <row r="757" spans="1:18" s="38" customFormat="1" ht="30" customHeight="1">
      <c r="A757" s="45">
        <v>93210</v>
      </c>
      <c r="B757" s="1188" t="s">
        <v>766</v>
      </c>
      <c r="C757" s="1189"/>
      <c r="D757" s="1190"/>
      <c r="E757" s="354">
        <f>+P912</f>
        <v>45.8</v>
      </c>
      <c r="F757" s="262" t="s">
        <v>285</v>
      </c>
      <c r="G757" s="350">
        <v>1063</v>
      </c>
      <c r="H757" s="259" t="s">
        <v>749</v>
      </c>
      <c r="I757" s="383">
        <f>+R912</f>
        <v>0.94232233454704462</v>
      </c>
      <c r="J757" s="20"/>
      <c r="K757" s="213">
        <f>+E757*G757*I757</f>
        <v>45877.339786356679</v>
      </c>
      <c r="L757" s="45" t="s">
        <v>10</v>
      </c>
      <c r="M757" s="1146"/>
      <c r="N757" s="1103"/>
      <c r="P757" s="159"/>
      <c r="Q757" s="147"/>
      <c r="R757" s="149"/>
    </row>
    <row r="758" spans="1:18" ht="30" customHeight="1">
      <c r="A758" s="45"/>
      <c r="B758" s="1307"/>
      <c r="C758" s="1307"/>
      <c r="D758" s="1307"/>
      <c r="E758" s="213"/>
      <c r="F758" s="45"/>
      <c r="G758" s="382"/>
      <c r="H758" s="264"/>
      <c r="I758" s="20"/>
      <c r="J758" s="20" t="s">
        <v>379</v>
      </c>
      <c r="K758" s="213">
        <f>SUM(K744:K757)</f>
        <v>7834136.1634637555</v>
      </c>
      <c r="L758" s="45" t="s">
        <v>10</v>
      </c>
      <c r="M758" s="1146"/>
      <c r="N758" s="1103"/>
      <c r="O758"/>
      <c r="P758" s="159"/>
      <c r="Q758" s="147"/>
      <c r="R758" s="149"/>
    </row>
    <row r="759" spans="1:18" ht="30" customHeight="1" thickBot="1">
      <c r="A759" s="45"/>
      <c r="B759" s="45"/>
      <c r="C759" s="46"/>
      <c r="D759" s="46"/>
      <c r="E759" s="46"/>
      <c r="F759" s="46"/>
      <c r="G759" s="176" t="s">
        <v>312</v>
      </c>
      <c r="H759" s="46"/>
      <c r="I759" s="18"/>
      <c r="J759" s="139">
        <f>VLOOKUP(B738,'Mil Cost Premiums for RUCs'!$A$4:$R$266,18,FALSE)</f>
        <v>1.0485669999999998</v>
      </c>
      <c r="K759" s="21">
        <f>+K758*J759</f>
        <v>8214616.6545146983</v>
      </c>
      <c r="L759" s="45" t="s">
        <v>10</v>
      </c>
      <c r="M759" s="1146"/>
      <c r="N759" s="282"/>
      <c r="O759" s="34"/>
      <c r="P759" s="283"/>
      <c r="Q759" s="282"/>
      <c r="R759" s="284"/>
    </row>
    <row r="760" spans="1:18" ht="30" customHeight="1" thickBot="1">
      <c r="A760" s="1165"/>
      <c r="B760" s="1166"/>
      <c r="C760" s="1166"/>
      <c r="D760" s="1166"/>
      <c r="E760" s="1166"/>
      <c r="F760" s="1166"/>
      <c r="G760" s="1166"/>
      <c r="H760" s="1166"/>
      <c r="I760" s="1166"/>
      <c r="J760" s="1166"/>
      <c r="K760" s="1166"/>
      <c r="L760" s="1167"/>
      <c r="M760" s="1146"/>
      <c r="N760" s="282"/>
      <c r="O760" s="34"/>
      <c r="P760" s="283"/>
      <c r="Q760" s="282"/>
      <c r="R760" s="284"/>
    </row>
    <row r="761" spans="1:18" ht="60" customHeight="1">
      <c r="A761" s="1024" t="s">
        <v>280</v>
      </c>
      <c r="B761" s="1025">
        <v>1768</v>
      </c>
      <c r="C761" s="1197" t="s">
        <v>767</v>
      </c>
      <c r="D761" s="1198"/>
      <c r="E761" s="74" t="s">
        <v>282</v>
      </c>
      <c r="F761" s="75" t="s">
        <v>10</v>
      </c>
      <c r="G761" s="181" t="s">
        <v>281</v>
      </c>
      <c r="H761" s="145">
        <v>1</v>
      </c>
      <c r="I761" s="74" t="s">
        <v>283</v>
      </c>
      <c r="J761" s="1199" t="s">
        <v>2614</v>
      </c>
      <c r="K761" s="1199"/>
      <c r="L761" s="1200"/>
      <c r="M761" s="1146"/>
      <c r="N761" s="1103"/>
      <c r="O761"/>
      <c r="P761" s="159"/>
      <c r="Q761" s="147"/>
      <c r="R761" s="149"/>
    </row>
    <row r="762" spans="1:18" ht="30" customHeight="1">
      <c r="A762" s="35" t="s">
        <v>293</v>
      </c>
      <c r="B762" s="1300" t="s">
        <v>330</v>
      </c>
      <c r="C762" s="1301"/>
      <c r="D762" s="1302"/>
      <c r="E762" s="150" t="s">
        <v>295</v>
      </c>
      <c r="F762" s="150" t="s">
        <v>331</v>
      </c>
      <c r="G762" s="1204" t="s">
        <v>332</v>
      </c>
      <c r="H762" s="1205"/>
      <c r="I762" s="77" t="s">
        <v>305</v>
      </c>
      <c r="J762" s="151" t="s">
        <v>308</v>
      </c>
      <c r="K762" s="1312" t="s">
        <v>297</v>
      </c>
      <c r="L762" s="1313"/>
      <c r="M762" s="1146"/>
      <c r="N762" s="523"/>
      <c r="O762" s="523"/>
      <c r="P762" s="159"/>
      <c r="Q762" s="147"/>
      <c r="R762" s="149"/>
    </row>
    <row r="763" spans="1:18" ht="30" customHeight="1">
      <c r="A763" s="35"/>
      <c r="B763" s="1188" t="s">
        <v>768</v>
      </c>
      <c r="C763" s="1189"/>
      <c r="D763" s="1190"/>
      <c r="E763" s="150"/>
      <c r="F763" s="150"/>
      <c r="G763" s="347"/>
      <c r="H763" s="348"/>
      <c r="I763" s="244"/>
      <c r="J763" s="244"/>
      <c r="K763" s="362"/>
      <c r="L763" s="362"/>
      <c r="M763" s="1146"/>
      <c r="N763" s="522"/>
      <c r="O763" s="522"/>
      <c r="P763" s="159"/>
      <c r="Q763" s="147"/>
      <c r="R763" s="149"/>
    </row>
    <row r="764" spans="1:18" ht="30" customHeight="1">
      <c r="A764" s="45">
        <v>93410</v>
      </c>
      <c r="B764" s="1188" t="s">
        <v>748</v>
      </c>
      <c r="C764" s="1189"/>
      <c r="D764" s="1190"/>
      <c r="E764" s="354">
        <f>+P910</f>
        <v>8.1999999999999993</v>
      </c>
      <c r="F764" s="317" t="s">
        <v>285</v>
      </c>
      <c r="G764" s="394">
        <v>279</v>
      </c>
      <c r="H764" s="252" t="s">
        <v>749</v>
      </c>
      <c r="I764" s="386">
        <f>+R910</f>
        <v>0.94232233454704462</v>
      </c>
      <c r="J764" s="20"/>
      <c r="K764" s="213">
        <f>+E764*G764*I764</f>
        <v>2155.8450369767284</v>
      </c>
      <c r="L764" s="45" t="s">
        <v>10</v>
      </c>
      <c r="M764" s="1146"/>
      <c r="N764" s="282"/>
      <c r="O764" s="43"/>
      <c r="P764" s="159"/>
      <c r="Q764" s="147"/>
      <c r="R764" s="149"/>
    </row>
    <row r="765" spans="1:18" s="38" customFormat="1" ht="30" customHeight="1">
      <c r="A765" s="45">
        <v>93210</v>
      </c>
      <c r="B765" s="1188" t="s">
        <v>750</v>
      </c>
      <c r="C765" s="1189"/>
      <c r="D765" s="1190"/>
      <c r="E765" s="354">
        <f>+P912</f>
        <v>45.8</v>
      </c>
      <c r="F765" s="317" t="s">
        <v>285</v>
      </c>
      <c r="G765" s="394">
        <v>215</v>
      </c>
      <c r="H765" s="252" t="s">
        <v>749</v>
      </c>
      <c r="I765" s="386">
        <f>+R912</f>
        <v>0.94232233454704462</v>
      </c>
      <c r="J765" s="20"/>
      <c r="K765" s="213">
        <f>+E765*G765*I765</f>
        <v>9279.0480282847475</v>
      </c>
      <c r="L765" s="45" t="s">
        <v>10</v>
      </c>
      <c r="M765" s="1146"/>
      <c r="N765" s="1103"/>
      <c r="P765" s="159"/>
      <c r="Q765" s="147"/>
      <c r="R765" s="149"/>
    </row>
    <row r="766" spans="1:18" ht="30" customHeight="1">
      <c r="A766" s="45"/>
      <c r="B766" s="1307"/>
      <c r="C766" s="1307"/>
      <c r="D766" s="1307"/>
      <c r="E766" s="153"/>
      <c r="F766" s="20"/>
      <c r="G766" s="395"/>
      <c r="H766" s="329"/>
      <c r="I766" s="20"/>
      <c r="J766" s="20" t="s">
        <v>379</v>
      </c>
      <c r="K766" s="213">
        <f>SUM(K764:K765)</f>
        <v>11434.893065261476</v>
      </c>
      <c r="L766" s="45" t="s">
        <v>10</v>
      </c>
      <c r="M766" s="1146"/>
      <c r="N766" s="1103"/>
      <c r="O766"/>
      <c r="P766" s="159"/>
      <c r="Q766" s="147"/>
      <c r="R766" s="149"/>
    </row>
    <row r="767" spans="1:18" ht="30" customHeight="1" thickBot="1">
      <c r="A767" s="45"/>
      <c r="B767" s="45"/>
      <c r="C767" s="46"/>
      <c r="D767" s="46"/>
      <c r="E767" s="18"/>
      <c r="F767" s="18"/>
      <c r="G767" s="160" t="s">
        <v>312</v>
      </c>
      <c r="H767" s="18"/>
      <c r="I767" s="18"/>
      <c r="J767" s="139">
        <f>VLOOKUP(B761,'Mil Cost Premiums for RUCs'!$A$4:$R$266,18,FALSE)</f>
        <v>1.0485669999999998</v>
      </c>
      <c r="K767" s="21">
        <f>+K766*J767</f>
        <v>11990.251516762028</v>
      </c>
      <c r="L767" s="45" t="s">
        <v>10</v>
      </c>
      <c r="M767" s="1146"/>
      <c r="N767" s="1103"/>
      <c r="O767"/>
      <c r="P767" s="159"/>
      <c r="Q767" s="147"/>
      <c r="R767" s="149"/>
    </row>
    <row r="768" spans="1:18" s="59" customFormat="1" ht="30" customHeight="1" thickBot="1">
      <c r="A768" s="1165"/>
      <c r="B768" s="1166"/>
      <c r="C768" s="1166"/>
      <c r="D768" s="1166"/>
      <c r="E768" s="1166"/>
      <c r="F768" s="1166"/>
      <c r="G768" s="1166"/>
      <c r="H768" s="1166"/>
      <c r="I768" s="1166"/>
      <c r="J768" s="1166"/>
      <c r="K768" s="1166"/>
      <c r="L768" s="1167"/>
      <c r="M768" s="1146"/>
      <c r="N768" s="803"/>
      <c r="P768" s="308"/>
      <c r="Q768" s="307"/>
      <c r="R768" s="309"/>
    </row>
    <row r="769" spans="1:21" s="59" customFormat="1" ht="75" customHeight="1">
      <c r="A769" s="27" t="s">
        <v>280</v>
      </c>
      <c r="B769" s="28">
        <v>1769</v>
      </c>
      <c r="C769" s="1197" t="s">
        <v>769</v>
      </c>
      <c r="D769" s="1198"/>
      <c r="E769" s="30" t="s">
        <v>282</v>
      </c>
      <c r="F769" s="31" t="s">
        <v>10</v>
      </c>
      <c r="G769" s="181" t="s">
        <v>770</v>
      </c>
      <c r="H769" s="186">
        <v>1</v>
      </c>
      <c r="I769" s="30" t="s">
        <v>283</v>
      </c>
      <c r="J769" s="1199" t="s">
        <v>2611</v>
      </c>
      <c r="K769" s="1199"/>
      <c r="L769" s="1200"/>
      <c r="M769" s="1146"/>
      <c r="N769" s="803"/>
      <c r="P769" s="308"/>
      <c r="Q769" s="307"/>
      <c r="R769" s="309"/>
    </row>
    <row r="770" spans="1:21" ht="30" customHeight="1">
      <c r="A770" s="35" t="s">
        <v>597</v>
      </c>
      <c r="B770" s="1300" t="s">
        <v>330</v>
      </c>
      <c r="C770" s="1301"/>
      <c r="D770" s="1302"/>
      <c r="E770" s="362" t="s">
        <v>295</v>
      </c>
      <c r="F770" s="362" t="s">
        <v>331</v>
      </c>
      <c r="G770" s="1356" t="s">
        <v>332</v>
      </c>
      <c r="H770" s="1357"/>
      <c r="I770" s="77" t="s">
        <v>305</v>
      </c>
      <c r="J770" s="285" t="s">
        <v>308</v>
      </c>
      <c r="K770" s="1312" t="s">
        <v>297</v>
      </c>
      <c r="L770" s="1313"/>
      <c r="M770" s="1146"/>
      <c r="N770" s="282"/>
      <c r="O770" s="34"/>
      <c r="P770" s="283"/>
      <c r="Q770" s="282"/>
      <c r="R770" s="284"/>
    </row>
    <row r="771" spans="1:21" ht="30" customHeight="1">
      <c r="A771" s="35"/>
      <c r="B771" s="1383" t="s">
        <v>771</v>
      </c>
      <c r="C771" s="1384"/>
      <c r="D771" s="1385"/>
      <c r="E771" s="362"/>
      <c r="F771" s="362"/>
      <c r="G771" s="392"/>
      <c r="H771" s="393"/>
      <c r="I771" s="83"/>
      <c r="J771" s="83"/>
      <c r="K771" s="362"/>
      <c r="L771" s="362"/>
      <c r="M771" s="1146"/>
      <c r="N771" s="282"/>
      <c r="O771" s="34"/>
      <c r="P771" s="283"/>
      <c r="Q771" s="282"/>
      <c r="R771" s="284"/>
    </row>
    <row r="772" spans="1:21" s="59" customFormat="1" ht="30" customHeight="1">
      <c r="A772" s="45" t="s">
        <v>538</v>
      </c>
      <c r="B772" s="1188" t="s">
        <v>772</v>
      </c>
      <c r="C772" s="1189"/>
      <c r="D772" s="1190"/>
      <c r="E772" s="354">
        <f>+P891</f>
        <v>9.15</v>
      </c>
      <c r="F772" s="20" t="s">
        <v>8</v>
      </c>
      <c r="G772" s="363">
        <f>16*62</f>
        <v>992</v>
      </c>
      <c r="H772" s="252" t="s">
        <v>741</v>
      </c>
      <c r="I772" s="326">
        <f>+R891</f>
        <v>1.05</v>
      </c>
      <c r="J772" s="326">
        <f>+S891</f>
        <v>0.99065420560747663</v>
      </c>
      <c r="K772" s="213">
        <f t="shared" ref="K772:K781" si="12">+E772*G772*I772*J772</f>
        <v>9441.5685981308416</v>
      </c>
      <c r="L772" s="45" t="s">
        <v>10</v>
      </c>
      <c r="M772" s="1146"/>
      <c r="N772" s="803"/>
      <c r="P772" s="308"/>
      <c r="Q772" s="307"/>
      <c r="R772" s="309"/>
    </row>
    <row r="773" spans="1:21" ht="30" customHeight="1">
      <c r="A773" s="45" t="s">
        <v>600</v>
      </c>
      <c r="B773" s="1307" t="s">
        <v>601</v>
      </c>
      <c r="C773" s="1307"/>
      <c r="D773" s="1307"/>
      <c r="E773" s="354">
        <f>+P895</f>
        <v>439.5</v>
      </c>
      <c r="F773" s="317" t="s">
        <v>10</v>
      </c>
      <c r="G773" s="363">
        <v>16</v>
      </c>
      <c r="H773" s="252" t="s">
        <v>742</v>
      </c>
      <c r="I773" s="326">
        <f>+R895</f>
        <v>1.07</v>
      </c>
      <c r="J773" s="326">
        <f>+S895</f>
        <v>0.99065420560747663</v>
      </c>
      <c r="K773" s="213">
        <f t="shared" si="12"/>
        <v>7453.920000000001</v>
      </c>
      <c r="L773" s="45" t="s">
        <v>10</v>
      </c>
      <c r="M773" s="1146"/>
      <c r="P773" s="34"/>
      <c r="Q773" s="34"/>
      <c r="R773" s="34"/>
      <c r="S773" s="44"/>
      <c r="T773" s="44"/>
      <c r="U773" s="34"/>
    </row>
    <row r="774" spans="1:21" ht="30" customHeight="1">
      <c r="A774" s="45" t="s">
        <v>600</v>
      </c>
      <c r="B774" s="1307" t="s">
        <v>603</v>
      </c>
      <c r="C774" s="1307"/>
      <c r="D774" s="1307"/>
      <c r="E774" s="354">
        <f>+P897</f>
        <v>316</v>
      </c>
      <c r="F774" s="317" t="s">
        <v>10</v>
      </c>
      <c r="G774" s="363">
        <v>16</v>
      </c>
      <c r="H774" s="252" t="s">
        <v>742</v>
      </c>
      <c r="I774" s="326">
        <f>+R897</f>
        <v>1.07</v>
      </c>
      <c r="J774" s="326">
        <f>+S897</f>
        <v>0.99065420560747663</v>
      </c>
      <c r="K774" s="213">
        <f t="shared" si="12"/>
        <v>5359.36</v>
      </c>
      <c r="L774" s="45" t="s">
        <v>10</v>
      </c>
      <c r="M774" s="1146"/>
      <c r="P774" s="34"/>
      <c r="Q774" s="34"/>
      <c r="R774" s="34"/>
      <c r="S774" s="44"/>
      <c r="T774" s="44"/>
      <c r="U774" s="34"/>
    </row>
    <row r="775" spans="1:21" ht="30" customHeight="1">
      <c r="A775" s="45" t="s">
        <v>480</v>
      </c>
      <c r="B775" s="1307" t="s">
        <v>773</v>
      </c>
      <c r="C775" s="1307"/>
      <c r="D775" s="1307"/>
      <c r="E775" s="354">
        <f>+P893</f>
        <v>17.95</v>
      </c>
      <c r="F775" s="20" t="s">
        <v>8</v>
      </c>
      <c r="G775" s="363">
        <f>80.7*8</f>
        <v>645.6</v>
      </c>
      <c r="H775" s="252" t="s">
        <v>741</v>
      </c>
      <c r="I775" s="326">
        <f>+R893</f>
        <v>1.07</v>
      </c>
      <c r="J775" s="326">
        <f>+S893</f>
        <v>0.99065420560747663</v>
      </c>
      <c r="K775" s="213">
        <f t="shared" si="12"/>
        <v>12283.831200000001</v>
      </c>
      <c r="L775" s="45" t="s">
        <v>10</v>
      </c>
      <c r="M775" s="1146"/>
      <c r="N775" s="1103"/>
      <c r="O775"/>
      <c r="P775" s="159"/>
      <c r="Q775" s="147"/>
      <c r="R775" s="149"/>
    </row>
    <row r="776" spans="1:21" s="38" customFormat="1" ht="30" customHeight="1">
      <c r="A776" s="45" t="s">
        <v>600</v>
      </c>
      <c r="B776" s="1307" t="s">
        <v>635</v>
      </c>
      <c r="C776" s="1307"/>
      <c r="D776" s="1307"/>
      <c r="E776" s="354">
        <f>+P896</f>
        <v>800</v>
      </c>
      <c r="F776" s="317" t="s">
        <v>10</v>
      </c>
      <c r="G776" s="363">
        <v>8</v>
      </c>
      <c r="H776" s="252" t="s">
        <v>742</v>
      </c>
      <c r="I776" s="326">
        <f>+R896</f>
        <v>1.07</v>
      </c>
      <c r="J776" s="326">
        <f>+S896</f>
        <v>0.99065420560747663</v>
      </c>
      <c r="K776" s="213">
        <f t="shared" si="12"/>
        <v>6784</v>
      </c>
      <c r="L776" s="45" t="s">
        <v>10</v>
      </c>
      <c r="M776" s="1146"/>
      <c r="N776" s="1103"/>
      <c r="P776" s="159"/>
      <c r="Q776" s="147"/>
      <c r="R776" s="149"/>
    </row>
    <row r="777" spans="1:21" ht="30" customHeight="1">
      <c r="A777" s="45" t="s">
        <v>461</v>
      </c>
      <c r="B777" s="1307" t="s">
        <v>774</v>
      </c>
      <c r="C777" s="1307"/>
      <c r="D777" s="1307"/>
      <c r="E777" s="354">
        <f>+P903</f>
        <v>17.125</v>
      </c>
      <c r="F777" s="317" t="s">
        <v>6</v>
      </c>
      <c r="G777" s="363">
        <f>49*8</f>
        <v>392</v>
      </c>
      <c r="H777" s="252" t="s">
        <v>745</v>
      </c>
      <c r="I777" s="326">
        <f>+R903</f>
        <v>1.07</v>
      </c>
      <c r="J777" s="326">
        <f>+S903</f>
        <v>0.99065420560747663</v>
      </c>
      <c r="K777" s="213">
        <f t="shared" si="12"/>
        <v>7115.7800000000007</v>
      </c>
      <c r="L777" s="45" t="s">
        <v>10</v>
      </c>
      <c r="M777" s="1146"/>
      <c r="N777" s="1103"/>
      <c r="O777"/>
      <c r="P777" s="159"/>
      <c r="Q777" s="147"/>
      <c r="R777" s="149"/>
    </row>
    <row r="778" spans="1:21" ht="30" customHeight="1">
      <c r="A778" s="45" t="s">
        <v>461</v>
      </c>
      <c r="B778" s="1224" t="s">
        <v>641</v>
      </c>
      <c r="C778" s="1224"/>
      <c r="D778" s="1224"/>
      <c r="E778" s="354">
        <f>+P904</f>
        <v>2617.5</v>
      </c>
      <c r="F778" s="317" t="s">
        <v>10</v>
      </c>
      <c r="G778" s="363">
        <v>8</v>
      </c>
      <c r="H778" s="252" t="s">
        <v>742</v>
      </c>
      <c r="I778" s="326">
        <f>+R904</f>
        <v>1.07</v>
      </c>
      <c r="J778" s="326">
        <f>+S904</f>
        <v>0.99065420560747663</v>
      </c>
      <c r="K778" s="213">
        <f t="shared" si="12"/>
        <v>22196.400000000001</v>
      </c>
      <c r="L778" s="45" t="s">
        <v>10</v>
      </c>
      <c r="M778" s="1146"/>
      <c r="N778" s="1103"/>
      <c r="O778"/>
      <c r="P778" s="159"/>
      <c r="Q778" s="147"/>
      <c r="R778" s="149"/>
    </row>
    <row r="779" spans="1:21" ht="30" customHeight="1">
      <c r="A779" s="45" t="s">
        <v>600</v>
      </c>
      <c r="B779" s="1307" t="s">
        <v>685</v>
      </c>
      <c r="C779" s="1307"/>
      <c r="D779" s="1307"/>
      <c r="E779" s="354">
        <f>+P899</f>
        <v>985</v>
      </c>
      <c r="F779" s="317" t="s">
        <v>10</v>
      </c>
      <c r="G779" s="363">
        <v>8</v>
      </c>
      <c r="H779" s="252" t="s">
        <v>742</v>
      </c>
      <c r="I779" s="326">
        <f t="shared" ref="I779:J781" si="13">+R899</f>
        <v>1.07</v>
      </c>
      <c r="J779" s="326">
        <f t="shared" si="13"/>
        <v>0.99065420560747663</v>
      </c>
      <c r="K779" s="213">
        <f t="shared" si="12"/>
        <v>8352.8000000000011</v>
      </c>
      <c r="L779" s="45" t="s">
        <v>10</v>
      </c>
      <c r="M779" s="1146"/>
      <c r="N779" s="1103"/>
      <c r="O779"/>
      <c r="P779" s="159"/>
      <c r="Q779" s="147"/>
      <c r="R779" s="149"/>
    </row>
    <row r="780" spans="1:21" ht="30" customHeight="1">
      <c r="A780" s="45" t="s">
        <v>604</v>
      </c>
      <c r="B780" s="1307" t="s">
        <v>668</v>
      </c>
      <c r="C780" s="1307"/>
      <c r="D780" s="1307"/>
      <c r="E780" s="354">
        <f>+P900</f>
        <v>137.85</v>
      </c>
      <c r="F780" s="317" t="s">
        <v>10</v>
      </c>
      <c r="G780" s="363">
        <v>96</v>
      </c>
      <c r="H780" s="252" t="s">
        <v>742</v>
      </c>
      <c r="I780" s="326">
        <f t="shared" si="13"/>
        <v>1.07</v>
      </c>
      <c r="J780" s="326">
        <f t="shared" si="13"/>
        <v>0.99065420560747663</v>
      </c>
      <c r="K780" s="213">
        <f t="shared" si="12"/>
        <v>14027.616</v>
      </c>
      <c r="L780" s="45" t="s">
        <v>10</v>
      </c>
      <c r="M780" s="1146"/>
      <c r="N780" s="282"/>
      <c r="O780" s="34"/>
      <c r="P780" s="283"/>
      <c r="Q780" s="282"/>
      <c r="R780" s="284"/>
    </row>
    <row r="781" spans="1:21" ht="30" customHeight="1">
      <c r="A781" s="45" t="s">
        <v>606</v>
      </c>
      <c r="B781" s="1307" t="s">
        <v>775</v>
      </c>
      <c r="C781" s="1307"/>
      <c r="D781" s="1307"/>
      <c r="E781" s="354">
        <f>+P901</f>
        <v>17.110000000000003</v>
      </c>
      <c r="F781" s="262" t="s">
        <v>6</v>
      </c>
      <c r="G781" s="350">
        <f>356*12</f>
        <v>4272</v>
      </c>
      <c r="H781" s="259" t="s">
        <v>745</v>
      </c>
      <c r="I781" s="326">
        <f t="shared" si="13"/>
        <v>1.07</v>
      </c>
      <c r="J781" s="326">
        <f t="shared" si="13"/>
        <v>0.99065420560747663</v>
      </c>
      <c r="K781" s="213">
        <f t="shared" si="12"/>
        <v>77479.555200000032</v>
      </c>
      <c r="L781" s="45" t="s">
        <v>10</v>
      </c>
      <c r="M781" s="1146"/>
      <c r="N781" s="282"/>
      <c r="O781" s="34"/>
      <c r="P781" s="283"/>
      <c r="Q781" s="282"/>
      <c r="R781" s="284"/>
    </row>
    <row r="782" spans="1:21" ht="30" customHeight="1">
      <c r="A782" s="45">
        <v>93410</v>
      </c>
      <c r="B782" s="1307" t="s">
        <v>776</v>
      </c>
      <c r="C782" s="1307"/>
      <c r="D782" s="1307"/>
      <c r="E782" s="241">
        <f>+P911</f>
        <v>1.1000000000000001</v>
      </c>
      <c r="F782" s="262" t="s">
        <v>3</v>
      </c>
      <c r="G782" s="350">
        <v>478</v>
      </c>
      <c r="H782" s="259" t="s">
        <v>746</v>
      </c>
      <c r="I782" s="386">
        <f>+R911</f>
        <v>0.94232233454704462</v>
      </c>
      <c r="J782" s="326"/>
      <c r="K782" s="213">
        <f>+E782*G782*I782</f>
        <v>495.4730835048361</v>
      </c>
      <c r="L782" s="45" t="s">
        <v>10</v>
      </c>
      <c r="M782" s="1146"/>
      <c r="N782" s="1103"/>
      <c r="O782"/>
      <c r="P782" s="159"/>
      <c r="Q782" s="147"/>
      <c r="R782" s="149"/>
    </row>
    <row r="783" spans="1:21" ht="30" customHeight="1">
      <c r="A783" s="45" t="s">
        <v>538</v>
      </c>
      <c r="B783" s="1307" t="s">
        <v>777</v>
      </c>
      <c r="C783" s="1307"/>
      <c r="D783" s="1307"/>
      <c r="E783" s="354">
        <f>+P892</f>
        <v>11.17</v>
      </c>
      <c r="F783" s="45" t="s">
        <v>8</v>
      </c>
      <c r="G783" s="350">
        <f>481*2</f>
        <v>962</v>
      </c>
      <c r="H783" s="259" t="s">
        <v>741</v>
      </c>
      <c r="I783" s="326">
        <f>+R892</f>
        <v>1.05</v>
      </c>
      <c r="J783" s="326">
        <f>+S892</f>
        <v>0.99065420560747663</v>
      </c>
      <c r="K783" s="213">
        <f>+E783*G783*I783*J783</f>
        <v>11177.370112149532</v>
      </c>
      <c r="L783" s="45" t="s">
        <v>10</v>
      </c>
      <c r="M783" s="1146"/>
      <c r="N783" s="1103"/>
      <c r="O783"/>
      <c r="P783" s="159"/>
      <c r="Q783" s="147"/>
      <c r="R783" s="149"/>
    </row>
    <row r="784" spans="1:21" s="32" customFormat="1" ht="30" customHeight="1">
      <c r="A784" s="45" t="s">
        <v>538</v>
      </c>
      <c r="B784" s="1307" t="s">
        <v>778</v>
      </c>
      <c r="C784" s="1307"/>
      <c r="D784" s="1307"/>
      <c r="E784" s="354">
        <f>+P891</f>
        <v>9.15</v>
      </c>
      <c r="F784" s="45" t="s">
        <v>8</v>
      </c>
      <c r="G784" s="350">
        <f>128*2</f>
        <v>256</v>
      </c>
      <c r="H784" s="259" t="s">
        <v>741</v>
      </c>
      <c r="I784" s="326">
        <f>+R891</f>
        <v>1.05</v>
      </c>
      <c r="J784" s="326">
        <f>+S891</f>
        <v>0.99065420560747663</v>
      </c>
      <c r="K784" s="213">
        <f>+E784*G784*I784*J784</f>
        <v>2436.5338317757009</v>
      </c>
      <c r="L784" s="45" t="s">
        <v>10</v>
      </c>
      <c r="M784" s="1146"/>
      <c r="N784" s="125"/>
      <c r="O784" s="33"/>
    </row>
    <row r="785" spans="1:21" s="38" customFormat="1" ht="30" customHeight="1">
      <c r="A785" s="45">
        <v>93410</v>
      </c>
      <c r="B785" s="1188" t="s">
        <v>779</v>
      </c>
      <c r="C785" s="1189"/>
      <c r="D785" s="1190"/>
      <c r="E785" s="354">
        <f>+P910</f>
        <v>8.1999999999999993</v>
      </c>
      <c r="F785" s="262" t="s">
        <v>285</v>
      </c>
      <c r="G785" s="350">
        <v>575</v>
      </c>
      <c r="H785" s="259" t="s">
        <v>749</v>
      </c>
      <c r="I785" s="383">
        <f>+R910</f>
        <v>0.94232233454704462</v>
      </c>
      <c r="J785" s="326"/>
      <c r="K785" s="213">
        <f>+E785*G785*I785</f>
        <v>4443.049807389315</v>
      </c>
      <c r="L785" s="45" t="s">
        <v>10</v>
      </c>
      <c r="M785" s="1146"/>
      <c r="N785" s="193"/>
      <c r="O785" s="1119"/>
    </row>
    <row r="786" spans="1:21" ht="30" customHeight="1">
      <c r="A786" s="45">
        <v>93210</v>
      </c>
      <c r="B786" s="1188" t="s">
        <v>780</v>
      </c>
      <c r="C786" s="1189"/>
      <c r="D786" s="1190"/>
      <c r="E786" s="354">
        <f>+P912</f>
        <v>45.8</v>
      </c>
      <c r="F786" s="262" t="s">
        <v>285</v>
      </c>
      <c r="G786" s="350">
        <v>156</v>
      </c>
      <c r="H786" s="259" t="s">
        <v>749</v>
      </c>
      <c r="I786" s="386">
        <f>+R912</f>
        <v>0.94232233454704462</v>
      </c>
      <c r="J786" s="326"/>
      <c r="K786" s="213">
        <f>+E786*G786*I786</f>
        <v>6732.7046158717239</v>
      </c>
      <c r="L786" s="45" t="s">
        <v>10</v>
      </c>
      <c r="M786" s="1146"/>
      <c r="N786" s="85"/>
    </row>
    <row r="787" spans="1:21" ht="30" customHeight="1">
      <c r="A787" s="45"/>
      <c r="B787" s="1307"/>
      <c r="C787" s="1307"/>
      <c r="D787" s="1307"/>
      <c r="E787" s="213"/>
      <c r="F787" s="45"/>
      <c r="G787" s="382"/>
      <c r="H787" s="264"/>
      <c r="I787" s="20"/>
      <c r="J787" s="20" t="s">
        <v>379</v>
      </c>
      <c r="K787" s="213">
        <f>SUM(K772:K786)</f>
        <v>195779.96244882199</v>
      </c>
      <c r="L787" s="45" t="s">
        <v>10</v>
      </c>
      <c r="M787" s="1146"/>
      <c r="P787" s="34"/>
      <c r="Q787" s="34"/>
      <c r="R787" s="34"/>
      <c r="S787" s="44"/>
      <c r="T787" s="44"/>
      <c r="U787" s="34"/>
    </row>
    <row r="788" spans="1:21" ht="30" customHeight="1" thickBot="1">
      <c r="A788" s="45"/>
      <c r="B788" s="45"/>
      <c r="C788" s="46"/>
      <c r="D788" s="46"/>
      <c r="E788" s="46"/>
      <c r="F788" s="46"/>
      <c r="G788" s="176" t="s">
        <v>312</v>
      </c>
      <c r="H788" s="46"/>
      <c r="I788" s="18"/>
      <c r="J788" s="139">
        <f>VLOOKUP(B769,'Mil Cost Premiums for RUCs'!$A$4:$R$266,18,FALSE)</f>
        <v>1.0485669999999998</v>
      </c>
      <c r="K788" s="21">
        <f>+K787*J788</f>
        <v>205288.40788507389</v>
      </c>
      <c r="L788" s="45" t="s">
        <v>10</v>
      </c>
      <c r="M788" s="1146"/>
      <c r="P788" s="34"/>
      <c r="Q788" s="34"/>
      <c r="R788" s="34"/>
      <c r="S788" s="44"/>
      <c r="T788" s="44"/>
      <c r="U788" s="34"/>
    </row>
    <row r="789" spans="1:21" s="32" customFormat="1" ht="30" customHeight="1" thickBot="1">
      <c r="A789" s="1165"/>
      <c r="B789" s="1166"/>
      <c r="C789" s="1166"/>
      <c r="D789" s="1166"/>
      <c r="E789" s="1166"/>
      <c r="F789" s="1166"/>
      <c r="G789" s="1166"/>
      <c r="H789" s="1166"/>
      <c r="I789" s="1166"/>
      <c r="J789" s="1166"/>
      <c r="K789" s="1166"/>
      <c r="L789" s="1167"/>
      <c r="M789" s="1146"/>
      <c r="N789" s="125"/>
      <c r="O789" s="33"/>
    </row>
    <row r="790" spans="1:21" s="38" customFormat="1" ht="75" customHeight="1">
      <c r="A790" s="27" t="s">
        <v>280</v>
      </c>
      <c r="B790" s="28">
        <v>1771</v>
      </c>
      <c r="C790" s="1426" t="s">
        <v>781</v>
      </c>
      <c r="D790" s="1427"/>
      <c r="E790" s="74" t="s">
        <v>282</v>
      </c>
      <c r="F790" s="31" t="s">
        <v>49</v>
      </c>
      <c r="G790" s="181" t="s">
        <v>782</v>
      </c>
      <c r="H790" s="186">
        <v>1</v>
      </c>
      <c r="I790" s="30" t="s">
        <v>283</v>
      </c>
      <c r="J790" s="1199" t="s">
        <v>2611</v>
      </c>
      <c r="K790" s="1199"/>
      <c r="L790" s="1200"/>
      <c r="M790" s="1146"/>
      <c r="N790" s="193"/>
      <c r="O790" s="1119"/>
    </row>
    <row r="791" spans="1:21" ht="30" customHeight="1">
      <c r="A791" s="35" t="s">
        <v>597</v>
      </c>
      <c r="B791" s="1300" t="s">
        <v>330</v>
      </c>
      <c r="C791" s="1301"/>
      <c r="D791" s="1302"/>
      <c r="E791" s="150" t="s">
        <v>295</v>
      </c>
      <c r="F791" s="362" t="s">
        <v>331</v>
      </c>
      <c r="G791" s="1204" t="s">
        <v>332</v>
      </c>
      <c r="H791" s="1205"/>
      <c r="I791" s="77" t="s">
        <v>305</v>
      </c>
      <c r="J791" s="151" t="s">
        <v>308</v>
      </c>
      <c r="K791" s="1206" t="s">
        <v>297</v>
      </c>
      <c r="L791" s="1207"/>
      <c r="M791" s="1146"/>
    </row>
    <row r="792" spans="1:21" ht="30" customHeight="1">
      <c r="A792" s="35"/>
      <c r="B792" s="1383" t="s">
        <v>783</v>
      </c>
      <c r="C792" s="1384"/>
      <c r="D792" s="1385"/>
      <c r="E792" s="150"/>
      <c r="F792" s="362"/>
      <c r="G792" s="347"/>
      <c r="H792" s="348"/>
      <c r="I792" s="244"/>
      <c r="J792" s="244"/>
      <c r="K792" s="150"/>
      <c r="L792" s="150"/>
      <c r="M792" s="1146"/>
      <c r="P792" s="34"/>
      <c r="Q792" s="34"/>
      <c r="R792" s="34"/>
      <c r="S792" s="44"/>
      <c r="T792" s="44"/>
      <c r="U792" s="34"/>
    </row>
    <row r="793" spans="1:21" ht="30" customHeight="1">
      <c r="A793" s="45" t="s">
        <v>538</v>
      </c>
      <c r="B793" s="1188" t="s">
        <v>784</v>
      </c>
      <c r="C793" s="1189"/>
      <c r="D793" s="1190"/>
      <c r="E793" s="354">
        <f>+P891</f>
        <v>9.15</v>
      </c>
      <c r="F793" s="45" t="s">
        <v>8</v>
      </c>
      <c r="G793" s="350">
        <f>146*62</f>
        <v>9052</v>
      </c>
      <c r="H793" s="252" t="s">
        <v>701</v>
      </c>
      <c r="I793" s="326">
        <f>+R891</f>
        <v>1.05</v>
      </c>
      <c r="J793" s="326">
        <f>+S891</f>
        <v>0.99065420560747663</v>
      </c>
      <c r="K793" s="153">
        <f t="shared" ref="K793:K804" si="14">+E793*G793*I793*J793</f>
        <v>86154.313457943936</v>
      </c>
      <c r="L793" s="20" t="s">
        <v>49</v>
      </c>
      <c r="M793" s="1146"/>
      <c r="P793" s="34"/>
      <c r="Q793" s="34"/>
      <c r="R793" s="34"/>
      <c r="S793" s="44"/>
      <c r="T793" s="44"/>
      <c r="U793" s="34"/>
    </row>
    <row r="794" spans="1:21" s="32" customFormat="1" ht="30" customHeight="1">
      <c r="A794" s="45" t="s">
        <v>600</v>
      </c>
      <c r="B794" s="1188" t="s">
        <v>601</v>
      </c>
      <c r="C794" s="1189"/>
      <c r="D794" s="1190"/>
      <c r="E794" s="354">
        <f>+P895</f>
        <v>439.5</v>
      </c>
      <c r="F794" s="262" t="s">
        <v>10</v>
      </c>
      <c r="G794" s="350">
        <v>146</v>
      </c>
      <c r="H794" s="252" t="s">
        <v>729</v>
      </c>
      <c r="I794" s="326">
        <f>+R895</f>
        <v>1.07</v>
      </c>
      <c r="J794" s="326">
        <f>+S895</f>
        <v>0.99065420560747663</v>
      </c>
      <c r="K794" s="153">
        <f t="shared" si="14"/>
        <v>68017.02</v>
      </c>
      <c r="L794" s="20" t="s">
        <v>49</v>
      </c>
      <c r="M794" s="1146"/>
      <c r="N794" s="125"/>
      <c r="O794" s="33"/>
    </row>
    <row r="795" spans="1:21" s="38" customFormat="1" ht="30" customHeight="1">
      <c r="A795" s="45" t="s">
        <v>600</v>
      </c>
      <c r="B795" s="1307" t="s">
        <v>603</v>
      </c>
      <c r="C795" s="1307"/>
      <c r="D795" s="1307"/>
      <c r="E795" s="354">
        <f>+P897</f>
        <v>316</v>
      </c>
      <c r="F795" s="262" t="s">
        <v>10</v>
      </c>
      <c r="G795" s="350">
        <v>146</v>
      </c>
      <c r="H795" s="252" t="s">
        <v>729</v>
      </c>
      <c r="I795" s="326">
        <f>+R897</f>
        <v>1.07</v>
      </c>
      <c r="J795" s="326">
        <f>+S897</f>
        <v>0.99065420560747663</v>
      </c>
      <c r="K795" s="153">
        <f t="shared" si="14"/>
        <v>48904.160000000003</v>
      </c>
      <c r="L795" s="20" t="s">
        <v>49</v>
      </c>
      <c r="M795" s="1146"/>
      <c r="N795" s="193"/>
      <c r="O795" s="1119"/>
    </row>
    <row r="796" spans="1:21" ht="30" customHeight="1">
      <c r="A796" s="45" t="s">
        <v>538</v>
      </c>
      <c r="B796" s="1307" t="s">
        <v>785</v>
      </c>
      <c r="C796" s="1307"/>
      <c r="D796" s="1307"/>
      <c r="E796" s="354">
        <f>+P892</f>
        <v>11.17</v>
      </c>
      <c r="F796" s="45" t="s">
        <v>8</v>
      </c>
      <c r="G796" s="350">
        <f>30*468</f>
        <v>14040</v>
      </c>
      <c r="H796" s="252" t="s">
        <v>701</v>
      </c>
      <c r="I796" s="326">
        <f>+R892</f>
        <v>1.05</v>
      </c>
      <c r="J796" s="326">
        <f>+S892</f>
        <v>0.99065420560747663</v>
      </c>
      <c r="K796" s="153">
        <f t="shared" si="14"/>
        <v>163129.18542056074</v>
      </c>
      <c r="L796" s="20" t="s">
        <v>49</v>
      </c>
      <c r="M796" s="1146"/>
      <c r="N796" s="612"/>
    </row>
    <row r="797" spans="1:21" ht="30" customHeight="1">
      <c r="A797" s="45" t="s">
        <v>480</v>
      </c>
      <c r="B797" s="1307" t="s">
        <v>786</v>
      </c>
      <c r="C797" s="1307"/>
      <c r="D797" s="1307"/>
      <c r="E797" s="354">
        <f>+P893</f>
        <v>17.95</v>
      </c>
      <c r="F797" s="45" t="s">
        <v>8</v>
      </c>
      <c r="G797" s="350">
        <f>2152*6</f>
        <v>12912</v>
      </c>
      <c r="H797" s="252" t="s">
        <v>701</v>
      </c>
      <c r="I797" s="326">
        <f>+R893</f>
        <v>1.07</v>
      </c>
      <c r="J797" s="326">
        <f>+S893</f>
        <v>0.99065420560747663</v>
      </c>
      <c r="K797" s="153">
        <f t="shared" si="14"/>
        <v>245676.62400000001</v>
      </c>
      <c r="L797" s="20" t="s">
        <v>49</v>
      </c>
      <c r="M797" s="1146"/>
      <c r="N797" s="612"/>
      <c r="P797" s="34"/>
      <c r="Q797" s="34"/>
      <c r="R797" s="34"/>
      <c r="S797" s="44"/>
      <c r="T797" s="44"/>
      <c r="U797" s="34"/>
    </row>
    <row r="798" spans="1:21" ht="30" customHeight="1">
      <c r="A798" s="45" t="s">
        <v>480</v>
      </c>
      <c r="B798" s="1307" t="s">
        <v>787</v>
      </c>
      <c r="C798" s="1307"/>
      <c r="D798" s="1307"/>
      <c r="E798" s="354">
        <f>+P893</f>
        <v>17.95</v>
      </c>
      <c r="F798" s="45" t="s">
        <v>8</v>
      </c>
      <c r="G798" s="350">
        <f>80.7*4</f>
        <v>322.8</v>
      </c>
      <c r="H798" s="252" t="s">
        <v>701</v>
      </c>
      <c r="I798" s="326">
        <f>+R893</f>
        <v>1.07</v>
      </c>
      <c r="J798" s="326">
        <f>+S893</f>
        <v>0.99065420560747663</v>
      </c>
      <c r="K798" s="153">
        <f t="shared" si="14"/>
        <v>6141.9156000000003</v>
      </c>
      <c r="L798" s="20" t="s">
        <v>49</v>
      </c>
      <c r="M798" s="1146"/>
      <c r="P798" s="34"/>
      <c r="Q798" s="34"/>
      <c r="R798" s="34"/>
      <c r="S798" s="44"/>
      <c r="T798" s="44"/>
      <c r="U798" s="34"/>
    </row>
    <row r="799" spans="1:21" s="32" customFormat="1" ht="30" customHeight="1">
      <c r="A799" s="45" t="s">
        <v>600</v>
      </c>
      <c r="B799" s="1307" t="s">
        <v>635</v>
      </c>
      <c r="C799" s="1307"/>
      <c r="D799" s="1307"/>
      <c r="E799" s="354">
        <f>+P896</f>
        <v>800</v>
      </c>
      <c r="F799" s="262" t="s">
        <v>10</v>
      </c>
      <c r="G799" s="350">
        <v>40</v>
      </c>
      <c r="H799" s="252" t="s">
        <v>729</v>
      </c>
      <c r="I799" s="326">
        <f>+R896</f>
        <v>1.07</v>
      </c>
      <c r="J799" s="326">
        <f>+S896</f>
        <v>0.99065420560747663</v>
      </c>
      <c r="K799" s="153">
        <f t="shared" si="14"/>
        <v>33920</v>
      </c>
      <c r="L799" s="20" t="s">
        <v>49</v>
      </c>
      <c r="M799" s="1146"/>
      <c r="N799" s="125"/>
      <c r="O799" s="33"/>
    </row>
    <row r="800" spans="1:21" s="38" customFormat="1" ht="30" customHeight="1">
      <c r="A800" s="45" t="s">
        <v>461</v>
      </c>
      <c r="B800" s="1307" t="s">
        <v>788</v>
      </c>
      <c r="C800" s="1307"/>
      <c r="D800" s="1307"/>
      <c r="E800" s="354">
        <f>+P903</f>
        <v>17.125</v>
      </c>
      <c r="F800" s="262" t="s">
        <v>6</v>
      </c>
      <c r="G800" s="350">
        <f>+((656*6)+(49*4))</f>
        <v>4132</v>
      </c>
      <c r="H800" s="252" t="s">
        <v>731</v>
      </c>
      <c r="I800" s="326">
        <f>+R903</f>
        <v>1.07</v>
      </c>
      <c r="J800" s="326">
        <f>+S903</f>
        <v>0.99065420560747663</v>
      </c>
      <c r="K800" s="153">
        <f t="shared" si="14"/>
        <v>75006.13</v>
      </c>
      <c r="L800" s="20" t="s">
        <v>49</v>
      </c>
      <c r="M800" s="1146"/>
      <c r="N800" s="193"/>
      <c r="O800" s="1119"/>
    </row>
    <row r="801" spans="1:21" ht="30" customHeight="1">
      <c r="A801" s="45" t="s">
        <v>461</v>
      </c>
      <c r="B801" s="1307" t="s">
        <v>759</v>
      </c>
      <c r="C801" s="1307"/>
      <c r="D801" s="1307"/>
      <c r="E801" s="354">
        <f>+P904</f>
        <v>2617.5</v>
      </c>
      <c r="F801" s="262" t="s">
        <v>10</v>
      </c>
      <c r="G801" s="350">
        <v>10</v>
      </c>
      <c r="H801" s="252" t="s">
        <v>729</v>
      </c>
      <c r="I801" s="326">
        <f>+R904</f>
        <v>1.07</v>
      </c>
      <c r="J801" s="326">
        <f>+S904</f>
        <v>0.99065420560747663</v>
      </c>
      <c r="K801" s="153">
        <f t="shared" si="14"/>
        <v>27745.5</v>
      </c>
      <c r="L801" s="20" t="s">
        <v>49</v>
      </c>
      <c r="M801" s="1146"/>
      <c r="N801" s="85"/>
    </row>
    <row r="802" spans="1:21" ht="30" customHeight="1">
      <c r="A802" s="45" t="s">
        <v>600</v>
      </c>
      <c r="B802" s="1307" t="s">
        <v>685</v>
      </c>
      <c r="C802" s="1307"/>
      <c r="D802" s="1307"/>
      <c r="E802" s="354">
        <f>+P899</f>
        <v>985</v>
      </c>
      <c r="F802" s="262" t="s">
        <v>10</v>
      </c>
      <c r="G802" s="350">
        <v>40</v>
      </c>
      <c r="H802" s="252" t="s">
        <v>729</v>
      </c>
      <c r="I802" s="326">
        <f t="shared" ref="I802:J804" si="15">+R899</f>
        <v>1.07</v>
      </c>
      <c r="J802" s="326">
        <f t="shared" si="15"/>
        <v>0.99065420560747663</v>
      </c>
      <c r="K802" s="153">
        <f t="shared" si="14"/>
        <v>41764</v>
      </c>
      <c r="L802" s="20" t="s">
        <v>49</v>
      </c>
      <c r="M802" s="1146"/>
      <c r="P802" s="34"/>
      <c r="Q802" s="34"/>
      <c r="R802" s="34"/>
      <c r="S802" s="44"/>
      <c r="T802" s="44"/>
      <c r="U802" s="34"/>
    </row>
    <row r="803" spans="1:21" ht="30" customHeight="1">
      <c r="A803" s="45" t="s">
        <v>604</v>
      </c>
      <c r="B803" s="1307" t="s">
        <v>760</v>
      </c>
      <c r="C803" s="1307"/>
      <c r="D803" s="1307"/>
      <c r="E803" s="354">
        <f>+P900</f>
        <v>137.85</v>
      </c>
      <c r="F803" s="262" t="s">
        <v>10</v>
      </c>
      <c r="G803" s="350">
        <v>774</v>
      </c>
      <c r="H803" s="259" t="s">
        <v>729</v>
      </c>
      <c r="I803" s="326">
        <f t="shared" si="15"/>
        <v>1.07</v>
      </c>
      <c r="J803" s="326">
        <f t="shared" si="15"/>
        <v>0.99065420560747663</v>
      </c>
      <c r="K803" s="213">
        <f t="shared" si="14"/>
        <v>113097.65399999999</v>
      </c>
      <c r="L803" s="45" t="s">
        <v>49</v>
      </c>
      <c r="M803" s="1146"/>
      <c r="P803" s="34"/>
      <c r="Q803" s="34"/>
      <c r="R803" s="34"/>
      <c r="S803" s="44"/>
      <c r="T803" s="44"/>
      <c r="U803" s="34"/>
    </row>
    <row r="804" spans="1:21" ht="30" customHeight="1">
      <c r="A804" s="45" t="s">
        <v>606</v>
      </c>
      <c r="B804" s="1188" t="s">
        <v>761</v>
      </c>
      <c r="C804" s="1189"/>
      <c r="D804" s="1190"/>
      <c r="E804" s="354">
        <f>+P901</f>
        <v>17.110000000000003</v>
      </c>
      <c r="F804" s="262" t="s">
        <v>6</v>
      </c>
      <c r="G804" s="350">
        <v>165233</v>
      </c>
      <c r="H804" s="259" t="s">
        <v>731</v>
      </c>
      <c r="I804" s="326">
        <f t="shared" si="15"/>
        <v>1.07</v>
      </c>
      <c r="J804" s="326">
        <f t="shared" si="15"/>
        <v>0.99065420560747663</v>
      </c>
      <c r="K804" s="213">
        <f t="shared" si="14"/>
        <v>2996764.8278000006</v>
      </c>
      <c r="L804" s="45" t="s">
        <v>49</v>
      </c>
      <c r="M804" s="1146"/>
      <c r="P804" s="34"/>
      <c r="Q804" s="34"/>
      <c r="R804" s="34"/>
      <c r="S804" s="44"/>
      <c r="T804" s="44"/>
      <c r="U804" s="34"/>
    </row>
    <row r="805" spans="1:21" s="38" customFormat="1" ht="30" customHeight="1">
      <c r="A805" s="45">
        <v>93410</v>
      </c>
      <c r="B805" s="1188" t="s">
        <v>789</v>
      </c>
      <c r="C805" s="1189"/>
      <c r="D805" s="1190"/>
      <c r="E805" s="241">
        <f>+P911</f>
        <v>1.1000000000000001</v>
      </c>
      <c r="F805" s="262" t="s">
        <v>3</v>
      </c>
      <c r="G805" s="350">
        <v>2488</v>
      </c>
      <c r="H805" s="259" t="s">
        <v>734</v>
      </c>
      <c r="I805" s="386">
        <f>+R911</f>
        <v>0.94232233454704462</v>
      </c>
      <c r="J805" s="20"/>
      <c r="K805" s="213">
        <f>+E805*G805*I805</f>
        <v>2578.9477651883517</v>
      </c>
      <c r="L805" s="45" t="s">
        <v>49</v>
      </c>
      <c r="M805" s="1146"/>
      <c r="N805" s="193"/>
      <c r="O805" s="1119"/>
    </row>
    <row r="806" spans="1:21" ht="30" customHeight="1">
      <c r="A806" s="45" t="s">
        <v>538</v>
      </c>
      <c r="B806" s="1188" t="s">
        <v>790</v>
      </c>
      <c r="C806" s="1189"/>
      <c r="D806" s="1190"/>
      <c r="E806" s="354">
        <f>+P892</f>
        <v>11.17</v>
      </c>
      <c r="F806" s="45" t="s">
        <v>8</v>
      </c>
      <c r="G806" s="350">
        <f>481*8</f>
        <v>3848</v>
      </c>
      <c r="H806" s="259" t="s">
        <v>701</v>
      </c>
      <c r="I806" s="20">
        <f>+R892</f>
        <v>1.05</v>
      </c>
      <c r="J806" s="326">
        <f>+S892</f>
        <v>0.99065420560747663</v>
      </c>
      <c r="K806" s="213">
        <f>+E806*G806*I806*J806</f>
        <v>44709.480448598129</v>
      </c>
      <c r="L806" s="45" t="s">
        <v>49</v>
      </c>
      <c r="M806" s="1146"/>
    </row>
    <row r="807" spans="1:21" ht="30" customHeight="1">
      <c r="A807" s="45">
        <v>93410</v>
      </c>
      <c r="B807" s="1188" t="s">
        <v>791</v>
      </c>
      <c r="C807" s="1189"/>
      <c r="D807" s="1190"/>
      <c r="E807" s="354">
        <f>+P910</f>
        <v>8.1999999999999993</v>
      </c>
      <c r="F807" s="262" t="s">
        <v>285</v>
      </c>
      <c r="G807" s="350">
        <v>5713</v>
      </c>
      <c r="H807" s="259" t="s">
        <v>703</v>
      </c>
      <c r="I807" s="386">
        <f>+R910</f>
        <v>0.94232233454704462</v>
      </c>
      <c r="J807" s="20"/>
      <c r="K807" s="213">
        <f>+E807*G807*I807</f>
        <v>44144.597477591582</v>
      </c>
      <c r="L807" s="45" t="s">
        <v>49</v>
      </c>
      <c r="M807" s="1146"/>
      <c r="N807" s="612"/>
      <c r="P807" s="34"/>
      <c r="Q807" s="34"/>
      <c r="R807" s="34"/>
      <c r="S807" s="44"/>
      <c r="T807" s="44"/>
      <c r="U807" s="34"/>
    </row>
    <row r="808" spans="1:21" ht="30" customHeight="1">
      <c r="A808" s="45" t="s">
        <v>342</v>
      </c>
      <c r="B808" s="1188" t="s">
        <v>792</v>
      </c>
      <c r="C808" s="1189"/>
      <c r="D808" s="1190"/>
      <c r="E808" s="241">
        <f>+P890</f>
        <v>3107</v>
      </c>
      <c r="F808" s="262" t="s">
        <v>10</v>
      </c>
      <c r="G808" s="350">
        <v>2</v>
      </c>
      <c r="H808" s="259" t="s">
        <v>729</v>
      </c>
      <c r="I808" s="20">
        <f>+R890</f>
        <v>1.05</v>
      </c>
      <c r="J808" s="326">
        <f>+S890</f>
        <v>0.99065420560747663</v>
      </c>
      <c r="K808" s="213">
        <f>+E808*G808*I808*J808</f>
        <v>6463.7214953271032</v>
      </c>
      <c r="L808" s="45" t="s">
        <v>49</v>
      </c>
      <c r="M808" s="1146"/>
      <c r="N808" s="612"/>
      <c r="P808" s="34"/>
      <c r="Q808" s="34"/>
      <c r="R808" s="34"/>
      <c r="S808" s="44"/>
      <c r="T808" s="44"/>
      <c r="U808" s="34"/>
    </row>
    <row r="809" spans="1:21" s="32" customFormat="1" ht="30" customHeight="1">
      <c r="A809" s="45">
        <v>93210</v>
      </c>
      <c r="B809" s="1188" t="s">
        <v>793</v>
      </c>
      <c r="C809" s="1189"/>
      <c r="D809" s="1190"/>
      <c r="E809" s="354">
        <f>+P912</f>
        <v>45.8</v>
      </c>
      <c r="F809" s="262" t="s">
        <v>285</v>
      </c>
      <c r="G809" s="350">
        <v>7850</v>
      </c>
      <c r="H809" s="259" t="s">
        <v>703</v>
      </c>
      <c r="I809" s="386">
        <f>+R912</f>
        <v>0.94232233454704462</v>
      </c>
      <c r="J809" s="20"/>
      <c r="K809" s="213">
        <f>+E809*G809*I809</f>
        <v>338793.14893969893</v>
      </c>
      <c r="L809" s="45" t="s">
        <v>49</v>
      </c>
      <c r="M809" s="1146"/>
      <c r="N809" s="125"/>
      <c r="O809" s="33"/>
    </row>
    <row r="810" spans="1:21" s="38" customFormat="1" ht="30" customHeight="1">
      <c r="A810" s="45" t="s">
        <v>624</v>
      </c>
      <c r="B810" s="1188" t="s">
        <v>794</v>
      </c>
      <c r="C810" s="1189"/>
      <c r="D810" s="1190"/>
      <c r="E810" s="241">
        <f>+P889</f>
        <v>18.05</v>
      </c>
      <c r="F810" s="262" t="s">
        <v>8</v>
      </c>
      <c r="G810" s="350">
        <v>2800</v>
      </c>
      <c r="H810" s="259" t="s">
        <v>701</v>
      </c>
      <c r="I810" s="334">
        <f>+R889</f>
        <v>1.1000000000000001</v>
      </c>
      <c r="J810" s="326">
        <f>+S889</f>
        <v>0.99065420560747663</v>
      </c>
      <c r="K810" s="213">
        <f>+E810*G810*I810*J810</f>
        <v>55074.429906542064</v>
      </c>
      <c r="L810" s="45" t="s">
        <v>49</v>
      </c>
      <c r="M810" s="1146"/>
      <c r="N810" s="193"/>
      <c r="O810" s="1119"/>
    </row>
    <row r="811" spans="1:21" ht="30" customHeight="1">
      <c r="A811" s="45"/>
      <c r="B811" s="1307"/>
      <c r="C811" s="1307"/>
      <c r="D811" s="1307"/>
      <c r="E811" s="213"/>
      <c r="F811" s="45"/>
      <c r="G811" s="382"/>
      <c r="H811" s="264"/>
      <c r="I811" s="20"/>
      <c r="J811" s="20" t="s">
        <v>379</v>
      </c>
      <c r="K811" s="213">
        <f>SUM(K793:K810)</f>
        <v>4398085.6563114515</v>
      </c>
      <c r="L811" s="45" t="s">
        <v>49</v>
      </c>
      <c r="M811" s="1146"/>
      <c r="N811" s="85"/>
    </row>
    <row r="812" spans="1:21" ht="30" customHeight="1" thickBot="1">
      <c r="A812" s="45"/>
      <c r="B812" s="45"/>
      <c r="C812" s="46"/>
      <c r="D812" s="46"/>
      <c r="E812" s="46"/>
      <c r="F812" s="46"/>
      <c r="G812" s="176" t="s">
        <v>312</v>
      </c>
      <c r="H812" s="46"/>
      <c r="I812" s="18"/>
      <c r="J812" s="139">
        <f>VLOOKUP(B790,'Mil Cost Premiums for RUCs'!$A$4:$R$266,18,FALSE)</f>
        <v>1.0821211439999998</v>
      </c>
      <c r="K812" s="21">
        <f>+K811*J812</f>
        <v>4759261.4818177382</v>
      </c>
      <c r="L812" s="45" t="s">
        <v>49</v>
      </c>
      <c r="M812" s="1146"/>
      <c r="P812" s="34"/>
      <c r="Q812" s="34"/>
      <c r="R812" s="34"/>
      <c r="S812" s="44"/>
      <c r="T812" s="44"/>
      <c r="U812" s="34"/>
    </row>
    <row r="813" spans="1:21" ht="30" customHeight="1" thickBot="1">
      <c r="A813" s="1165"/>
      <c r="B813" s="1166"/>
      <c r="C813" s="1166"/>
      <c r="D813" s="1166"/>
      <c r="E813" s="1166"/>
      <c r="F813" s="1166"/>
      <c r="G813" s="1166"/>
      <c r="H813" s="1166"/>
      <c r="I813" s="1166"/>
      <c r="J813" s="1166"/>
      <c r="K813" s="1166"/>
      <c r="L813" s="1167"/>
      <c r="M813" s="1146"/>
      <c r="P813" s="34"/>
      <c r="Q813" s="34"/>
      <c r="R813" s="34"/>
      <c r="S813" s="44"/>
      <c r="T813" s="44"/>
      <c r="U813" s="34"/>
    </row>
    <row r="814" spans="1:21" s="32" customFormat="1" ht="75" customHeight="1">
      <c r="A814" s="81" t="s">
        <v>280</v>
      </c>
      <c r="B814" s="82">
        <v>1772</v>
      </c>
      <c r="C814" s="1197" t="s">
        <v>795</v>
      </c>
      <c r="D814" s="1198"/>
      <c r="E814" s="74" t="s">
        <v>282</v>
      </c>
      <c r="F814" s="75" t="s">
        <v>10</v>
      </c>
      <c r="G814" s="181" t="s">
        <v>796</v>
      </c>
      <c r="H814" s="145">
        <v>1</v>
      </c>
      <c r="I814" s="74" t="s">
        <v>283</v>
      </c>
      <c r="J814" s="1199" t="s">
        <v>2615</v>
      </c>
      <c r="K814" s="1199"/>
      <c r="L814" s="1200"/>
      <c r="M814" s="1146"/>
      <c r="N814" s="125"/>
      <c r="O814" s="33"/>
    </row>
    <row r="815" spans="1:21" s="38" customFormat="1" ht="30" customHeight="1">
      <c r="A815" s="77" t="s">
        <v>597</v>
      </c>
      <c r="B815" s="1201" t="s">
        <v>330</v>
      </c>
      <c r="C815" s="1202"/>
      <c r="D815" s="1203"/>
      <c r="E815" s="150" t="s">
        <v>295</v>
      </c>
      <c r="F815" s="150" t="s">
        <v>331</v>
      </c>
      <c r="G815" s="1204" t="s">
        <v>332</v>
      </c>
      <c r="H815" s="1205"/>
      <c r="I815" s="77" t="s">
        <v>305</v>
      </c>
      <c r="J815" s="285" t="s">
        <v>308</v>
      </c>
      <c r="K815" s="1312" t="s">
        <v>297</v>
      </c>
      <c r="L815" s="1313"/>
      <c r="M815" s="1146"/>
      <c r="N815" s="193"/>
      <c r="O815" s="1119"/>
    </row>
    <row r="816" spans="1:21" ht="30" customHeight="1">
      <c r="A816" s="77"/>
      <c r="B816" s="1179" t="s">
        <v>797</v>
      </c>
      <c r="C816" s="1180"/>
      <c r="D816" s="1181"/>
      <c r="E816" s="150"/>
      <c r="F816" s="150"/>
      <c r="G816" s="347"/>
      <c r="H816" s="348"/>
      <c r="I816" s="244"/>
      <c r="J816" s="244"/>
      <c r="K816" s="150"/>
      <c r="L816" s="150"/>
      <c r="M816" s="1146"/>
    </row>
    <row r="817" spans="1:21" ht="30" customHeight="1">
      <c r="A817" s="20" t="s">
        <v>538</v>
      </c>
      <c r="B817" s="1176" t="s">
        <v>798</v>
      </c>
      <c r="C817" s="1177"/>
      <c r="D817" s="1178"/>
      <c r="E817" s="354">
        <f>+P891</f>
        <v>9.15</v>
      </c>
      <c r="F817" s="20" t="s">
        <v>8</v>
      </c>
      <c r="G817" s="350">
        <f>294*62</f>
        <v>18228</v>
      </c>
      <c r="H817" s="252" t="s">
        <v>741</v>
      </c>
      <c r="I817" s="326">
        <f>+R891</f>
        <v>1.05</v>
      </c>
      <c r="J817" s="326">
        <f>+S891</f>
        <v>0.99065420560747663</v>
      </c>
      <c r="K817" s="153">
        <f t="shared" ref="K817:K828" si="16">+E817*G817*I817*J817</f>
        <v>173488.82299065421</v>
      </c>
      <c r="L817" s="20" t="s">
        <v>10</v>
      </c>
      <c r="M817" s="1146"/>
      <c r="P817" s="34"/>
      <c r="Q817" s="34"/>
      <c r="R817" s="34"/>
      <c r="S817" s="44"/>
      <c r="T817" s="44"/>
      <c r="U817" s="34"/>
    </row>
    <row r="818" spans="1:21" ht="30" customHeight="1">
      <c r="A818" s="20" t="s">
        <v>600</v>
      </c>
      <c r="B818" s="1176" t="s">
        <v>601</v>
      </c>
      <c r="C818" s="1177"/>
      <c r="D818" s="1178"/>
      <c r="E818" s="354">
        <f>+P895</f>
        <v>439.5</v>
      </c>
      <c r="F818" s="317" t="s">
        <v>10</v>
      </c>
      <c r="G818" s="350">
        <v>306</v>
      </c>
      <c r="H818" s="252" t="s">
        <v>742</v>
      </c>
      <c r="I818" s="326">
        <f>+R895</f>
        <v>1.07</v>
      </c>
      <c r="J818" s="326">
        <f>+S895</f>
        <v>0.99065420560747663</v>
      </c>
      <c r="K818" s="153">
        <f t="shared" si="16"/>
        <v>142556.22</v>
      </c>
      <c r="L818" s="20" t="s">
        <v>10</v>
      </c>
      <c r="M818" s="1146"/>
      <c r="P818" s="34"/>
      <c r="Q818" s="34"/>
      <c r="R818" s="34"/>
      <c r="S818" s="44"/>
      <c r="T818" s="44"/>
      <c r="U818" s="34"/>
    </row>
    <row r="819" spans="1:21" s="32" customFormat="1" ht="30" customHeight="1">
      <c r="A819" s="20" t="s">
        <v>600</v>
      </c>
      <c r="B819" s="1176" t="s">
        <v>603</v>
      </c>
      <c r="C819" s="1177"/>
      <c r="D819" s="1178"/>
      <c r="E819" s="354">
        <f>+P897</f>
        <v>316</v>
      </c>
      <c r="F819" s="317" t="s">
        <v>10</v>
      </c>
      <c r="G819" s="350">
        <v>306</v>
      </c>
      <c r="H819" s="252" t="s">
        <v>742</v>
      </c>
      <c r="I819" s="326">
        <f>+R897</f>
        <v>1.07</v>
      </c>
      <c r="J819" s="326">
        <f>+S897</f>
        <v>0.99065420560747663</v>
      </c>
      <c r="K819" s="153">
        <f t="shared" si="16"/>
        <v>102497.76</v>
      </c>
      <c r="L819" s="20" t="s">
        <v>10</v>
      </c>
      <c r="M819" s="1146"/>
      <c r="N819" s="125"/>
      <c r="O819" s="33"/>
    </row>
    <row r="820" spans="1:21" s="38" customFormat="1" ht="30" customHeight="1">
      <c r="A820" s="20" t="s">
        <v>538</v>
      </c>
      <c r="B820" s="1224" t="s">
        <v>799</v>
      </c>
      <c r="C820" s="1224"/>
      <c r="D820" s="1224"/>
      <c r="E820" s="354">
        <f>+P892</f>
        <v>11.17</v>
      </c>
      <c r="F820" s="20" t="s">
        <v>8</v>
      </c>
      <c r="G820" s="350">
        <f>80*468</f>
        <v>37440</v>
      </c>
      <c r="H820" s="252" t="s">
        <v>741</v>
      </c>
      <c r="I820" s="326">
        <f>+R892</f>
        <v>1.05</v>
      </c>
      <c r="J820" s="326">
        <f>+S892</f>
        <v>0.99065420560747663</v>
      </c>
      <c r="K820" s="153">
        <f t="shared" si="16"/>
        <v>435011.1611214953</v>
      </c>
      <c r="L820" s="20" t="s">
        <v>10</v>
      </c>
      <c r="M820" s="1146"/>
      <c r="N820" s="193"/>
      <c r="O820" s="1119"/>
    </row>
    <row r="821" spans="1:21" ht="30" customHeight="1">
      <c r="A821" s="20" t="s">
        <v>480</v>
      </c>
      <c r="B821" s="1224" t="s">
        <v>800</v>
      </c>
      <c r="C821" s="1224"/>
      <c r="D821" s="1224"/>
      <c r="E821" s="354">
        <f>+P893</f>
        <v>17.95</v>
      </c>
      <c r="F821" s="20" t="s">
        <v>8</v>
      </c>
      <c r="G821" s="350">
        <f>2152*12</f>
        <v>25824</v>
      </c>
      <c r="H821" s="252" t="s">
        <v>741</v>
      </c>
      <c r="I821" s="326">
        <f>+R893</f>
        <v>1.07</v>
      </c>
      <c r="J821" s="326">
        <f>+S893</f>
        <v>0.99065420560747663</v>
      </c>
      <c r="K821" s="153">
        <f t="shared" si="16"/>
        <v>491353.24800000002</v>
      </c>
      <c r="L821" s="20" t="s">
        <v>10</v>
      </c>
      <c r="M821" s="1146"/>
      <c r="N821" s="85"/>
    </row>
    <row r="822" spans="1:21" ht="30" customHeight="1">
      <c r="A822" s="20" t="s">
        <v>480</v>
      </c>
      <c r="B822" s="1224" t="s">
        <v>801</v>
      </c>
      <c r="C822" s="1224"/>
      <c r="D822" s="1224"/>
      <c r="E822" s="354">
        <f>+P893</f>
        <v>17.95</v>
      </c>
      <c r="F822" s="20" t="s">
        <v>8</v>
      </c>
      <c r="G822" s="396">
        <f>80.7*45</f>
        <v>3631.5</v>
      </c>
      <c r="H822" s="252" t="s">
        <v>741</v>
      </c>
      <c r="I822" s="326">
        <f>+R893</f>
        <v>1.07</v>
      </c>
      <c r="J822" s="326">
        <f>+S893</f>
        <v>0.99065420560747663</v>
      </c>
      <c r="K822" s="153">
        <f t="shared" si="16"/>
        <v>69096.550499999998</v>
      </c>
      <c r="L822" s="20" t="s">
        <v>10</v>
      </c>
      <c r="M822" s="1146"/>
      <c r="P822" s="34"/>
      <c r="Q822" s="34"/>
      <c r="R822" s="34"/>
      <c r="S822" s="44"/>
      <c r="T822" s="44"/>
      <c r="U822" s="34"/>
    </row>
    <row r="823" spans="1:21" ht="30" customHeight="1">
      <c r="A823" s="20" t="s">
        <v>600</v>
      </c>
      <c r="B823" s="1224" t="s">
        <v>635</v>
      </c>
      <c r="C823" s="1224"/>
      <c r="D823" s="1224"/>
      <c r="E823" s="354">
        <f>+P896</f>
        <v>800</v>
      </c>
      <c r="F823" s="317" t="s">
        <v>10</v>
      </c>
      <c r="G823" s="350">
        <v>137</v>
      </c>
      <c r="H823" s="252" t="s">
        <v>742</v>
      </c>
      <c r="I823" s="326">
        <f>+R896</f>
        <v>1.07</v>
      </c>
      <c r="J823" s="326">
        <f>+S896</f>
        <v>0.99065420560747663</v>
      </c>
      <c r="K823" s="153">
        <f t="shared" si="16"/>
        <v>116176</v>
      </c>
      <c r="L823" s="20" t="s">
        <v>10</v>
      </c>
      <c r="M823" s="1146"/>
      <c r="P823" s="34"/>
      <c r="Q823" s="34"/>
      <c r="R823" s="34"/>
      <c r="S823" s="44"/>
      <c r="T823" s="44"/>
      <c r="U823" s="34"/>
    </row>
    <row r="824" spans="1:21" s="32" customFormat="1" ht="30" customHeight="1">
      <c r="A824" s="20" t="s">
        <v>461</v>
      </c>
      <c r="B824" s="1224" t="s">
        <v>802</v>
      </c>
      <c r="C824" s="1224"/>
      <c r="D824" s="1224"/>
      <c r="E824" s="354">
        <f>+P903</f>
        <v>17.125</v>
      </c>
      <c r="F824" s="317" t="s">
        <v>6</v>
      </c>
      <c r="G824" s="350">
        <f>+((656*12)+(49*45))</f>
        <v>10077</v>
      </c>
      <c r="H824" s="252" t="s">
        <v>745</v>
      </c>
      <c r="I824" s="326">
        <f>+R903</f>
        <v>1.07</v>
      </c>
      <c r="J824" s="326">
        <f>+S903</f>
        <v>0.99065420560747663</v>
      </c>
      <c r="K824" s="153">
        <f t="shared" si="16"/>
        <v>182922.74250000002</v>
      </c>
      <c r="L824" s="20" t="s">
        <v>10</v>
      </c>
      <c r="M824" s="1146"/>
      <c r="N824" s="125"/>
      <c r="O824" s="33"/>
    </row>
    <row r="825" spans="1:21" s="38" customFormat="1" ht="30" customHeight="1">
      <c r="A825" s="20" t="s">
        <v>461</v>
      </c>
      <c r="B825" s="1176" t="s">
        <v>759</v>
      </c>
      <c r="C825" s="1177"/>
      <c r="D825" s="1178"/>
      <c r="E825" s="354">
        <f>+P904</f>
        <v>2617.5</v>
      </c>
      <c r="F825" s="317" t="s">
        <v>10</v>
      </c>
      <c r="G825" s="350">
        <v>57</v>
      </c>
      <c r="H825" s="252" t="s">
        <v>742</v>
      </c>
      <c r="I825" s="326">
        <f>+R904</f>
        <v>1.07</v>
      </c>
      <c r="J825" s="326">
        <f>+S904</f>
        <v>0.99065420560747663</v>
      </c>
      <c r="K825" s="153">
        <f t="shared" si="16"/>
        <v>158149.35</v>
      </c>
      <c r="L825" s="20" t="s">
        <v>10</v>
      </c>
      <c r="M825" s="1146"/>
      <c r="N825" s="193"/>
      <c r="O825" s="1119"/>
    </row>
    <row r="826" spans="1:21" ht="30" customHeight="1">
      <c r="A826" s="20" t="s">
        <v>600</v>
      </c>
      <c r="B826" s="1176" t="s">
        <v>685</v>
      </c>
      <c r="C826" s="1177"/>
      <c r="D826" s="1178"/>
      <c r="E826" s="354">
        <f>+P899</f>
        <v>985</v>
      </c>
      <c r="F826" s="317" t="s">
        <v>10</v>
      </c>
      <c r="G826" s="350">
        <v>137</v>
      </c>
      <c r="H826" s="252" t="s">
        <v>742</v>
      </c>
      <c r="I826" s="326">
        <f t="shared" ref="I826:J828" si="17">+R899</f>
        <v>1.07</v>
      </c>
      <c r="J826" s="326">
        <f t="shared" si="17"/>
        <v>0.99065420560747663</v>
      </c>
      <c r="K826" s="153">
        <f t="shared" si="16"/>
        <v>143041.69999999998</v>
      </c>
      <c r="L826" s="20" t="s">
        <v>10</v>
      </c>
      <c r="M826" s="1146"/>
      <c r="N826" s="85"/>
    </row>
    <row r="827" spans="1:21" ht="30" customHeight="1">
      <c r="A827" s="20" t="s">
        <v>604</v>
      </c>
      <c r="B827" s="1224" t="s">
        <v>760</v>
      </c>
      <c r="C827" s="1224"/>
      <c r="D827" s="1224"/>
      <c r="E827" s="354">
        <f>+P900</f>
        <v>137.85</v>
      </c>
      <c r="F827" s="317" t="s">
        <v>10</v>
      </c>
      <c r="G827" s="350">
        <v>1852</v>
      </c>
      <c r="H827" s="252" t="s">
        <v>742</v>
      </c>
      <c r="I827" s="326">
        <f t="shared" si="17"/>
        <v>1.07</v>
      </c>
      <c r="J827" s="326">
        <f t="shared" si="17"/>
        <v>0.99065420560747663</v>
      </c>
      <c r="K827" s="153">
        <f t="shared" si="16"/>
        <v>270616.092</v>
      </c>
      <c r="L827" s="20" t="s">
        <v>10</v>
      </c>
      <c r="M827" s="1146"/>
      <c r="P827" s="34"/>
      <c r="Q827" s="34"/>
      <c r="R827" s="34"/>
      <c r="S827" s="44"/>
      <c r="T827" s="44"/>
      <c r="U827" s="34"/>
    </row>
    <row r="828" spans="1:21" ht="30" customHeight="1">
      <c r="A828" s="20" t="s">
        <v>606</v>
      </c>
      <c r="B828" s="1176" t="s">
        <v>803</v>
      </c>
      <c r="C828" s="1177"/>
      <c r="D828" s="1178"/>
      <c r="E828" s="354">
        <f>P901</f>
        <v>17.110000000000003</v>
      </c>
      <c r="F828" s="317" t="s">
        <v>6</v>
      </c>
      <c r="G828" s="350">
        <f>176233*6.5</f>
        <v>1145514.5</v>
      </c>
      <c r="H828" s="252" t="s">
        <v>745</v>
      </c>
      <c r="I828" s="326">
        <f t="shared" si="17"/>
        <v>1.07</v>
      </c>
      <c r="J828" s="326">
        <f t="shared" si="17"/>
        <v>0.99065420560747663</v>
      </c>
      <c r="K828" s="153">
        <f t="shared" si="16"/>
        <v>20775738.280700006</v>
      </c>
      <c r="L828" s="20" t="s">
        <v>10</v>
      </c>
      <c r="M828" s="1146"/>
      <c r="P828" s="34"/>
      <c r="Q828" s="34"/>
      <c r="R828" s="34"/>
      <c r="S828" s="44"/>
      <c r="T828" s="44"/>
      <c r="U828" s="34"/>
    </row>
    <row r="829" spans="1:21" s="32" customFormat="1" ht="30" customHeight="1">
      <c r="A829" s="20">
        <v>93410</v>
      </c>
      <c r="B829" s="1176" t="s">
        <v>804</v>
      </c>
      <c r="C829" s="1177"/>
      <c r="D829" s="1178"/>
      <c r="E829" s="241">
        <f>+P911</f>
        <v>1.1000000000000001</v>
      </c>
      <c r="F829" s="317" t="s">
        <v>3</v>
      </c>
      <c r="G829" s="350">
        <v>7464</v>
      </c>
      <c r="H829" s="252" t="s">
        <v>746</v>
      </c>
      <c r="I829" s="383">
        <f>+R911</f>
        <v>0.94232233454704462</v>
      </c>
      <c r="J829" s="20"/>
      <c r="K829" s="153">
        <f>+E829*G829*I829</f>
        <v>7736.8432955650569</v>
      </c>
      <c r="L829" s="20" t="s">
        <v>10</v>
      </c>
      <c r="M829" s="1146"/>
      <c r="N829" s="125"/>
      <c r="O829" s="33"/>
    </row>
    <row r="830" spans="1:21" s="38" customFormat="1" ht="30" customHeight="1">
      <c r="A830" s="20" t="s">
        <v>538</v>
      </c>
      <c r="B830" s="1176" t="s">
        <v>805</v>
      </c>
      <c r="C830" s="1177"/>
      <c r="D830" s="1178"/>
      <c r="E830" s="354">
        <f>+P892</f>
        <v>11.17</v>
      </c>
      <c r="F830" s="20" t="s">
        <v>8</v>
      </c>
      <c r="G830" s="350">
        <f>481*30</f>
        <v>14430</v>
      </c>
      <c r="H830" s="252" t="s">
        <v>741</v>
      </c>
      <c r="I830" s="326">
        <f>+R892</f>
        <v>1.05</v>
      </c>
      <c r="J830" s="326">
        <f>+S892</f>
        <v>0.99065420560747663</v>
      </c>
      <c r="K830" s="153">
        <f>+E830*G830*I830*J830</f>
        <v>167660.55168224301</v>
      </c>
      <c r="L830" s="20" t="s">
        <v>10</v>
      </c>
      <c r="M830" s="1146"/>
      <c r="N830" s="968"/>
      <c r="O830" s="1119"/>
    </row>
    <row r="831" spans="1:21" ht="30" customHeight="1">
      <c r="A831" s="20">
        <v>93410</v>
      </c>
      <c r="B831" s="1176" t="s">
        <v>806</v>
      </c>
      <c r="C831" s="1177"/>
      <c r="D831" s="1178"/>
      <c r="E831" s="354">
        <f>+P910</f>
        <v>8.1999999999999993</v>
      </c>
      <c r="F831" s="317" t="s">
        <v>285</v>
      </c>
      <c r="G831" s="350">
        <v>17139</v>
      </c>
      <c r="H831" s="252" t="s">
        <v>749</v>
      </c>
      <c r="I831" s="383">
        <f>+R910</f>
        <v>0.94232233454704462</v>
      </c>
      <c r="J831" s="20"/>
      <c r="K831" s="153">
        <f>+E831*G831*I831</f>
        <v>132433.79243277473</v>
      </c>
      <c r="L831" s="20" t="s">
        <v>10</v>
      </c>
      <c r="M831" s="1146"/>
    </row>
    <row r="832" spans="1:21" ht="30" customHeight="1">
      <c r="A832" s="20" t="s">
        <v>538</v>
      </c>
      <c r="B832" s="1176" t="s">
        <v>807</v>
      </c>
      <c r="C832" s="1177"/>
      <c r="D832" s="1178"/>
      <c r="E832" s="241">
        <f>+P891</f>
        <v>9.15</v>
      </c>
      <c r="F832" s="317" t="s">
        <v>8</v>
      </c>
      <c r="G832" s="350">
        <f>4*144</f>
        <v>576</v>
      </c>
      <c r="H832" s="252" t="s">
        <v>741</v>
      </c>
      <c r="I832" s="20">
        <f>+R891</f>
        <v>1.05</v>
      </c>
      <c r="J832" s="326">
        <f>+S891</f>
        <v>0.99065420560747663</v>
      </c>
      <c r="K832" s="153">
        <f>+E832*G832*I832*J832</f>
        <v>5482.2011214953282</v>
      </c>
      <c r="L832" s="20" t="s">
        <v>10</v>
      </c>
      <c r="M832" s="1146"/>
      <c r="N832" s="85"/>
    </row>
    <row r="833" spans="1:21" ht="30" customHeight="1">
      <c r="A833" s="20">
        <v>93210</v>
      </c>
      <c r="B833" s="1176" t="s">
        <v>808</v>
      </c>
      <c r="C833" s="1177"/>
      <c r="D833" s="1178"/>
      <c r="E833" s="354">
        <f>+P912</f>
        <v>45.8</v>
      </c>
      <c r="F833" s="317" t="s">
        <v>285</v>
      </c>
      <c r="G833" s="350">
        <v>44650</v>
      </c>
      <c r="H833" s="252" t="s">
        <v>749</v>
      </c>
      <c r="I833" s="383">
        <f>+R912</f>
        <v>0.94232233454704462</v>
      </c>
      <c r="J833" s="20"/>
      <c r="K833" s="153">
        <f>+E833*G833*I833</f>
        <v>1927020.9044786696</v>
      </c>
      <c r="L833" s="20" t="s">
        <v>10</v>
      </c>
      <c r="M833" s="1146"/>
      <c r="P833" s="34"/>
      <c r="Q833" s="34"/>
      <c r="R833" s="34"/>
      <c r="S833" s="44"/>
      <c r="T833" s="44"/>
      <c r="U833" s="34"/>
    </row>
    <row r="834" spans="1:21" ht="30" customHeight="1">
      <c r="A834" s="20" t="s">
        <v>624</v>
      </c>
      <c r="B834" s="1176" t="s">
        <v>809</v>
      </c>
      <c r="C834" s="1177"/>
      <c r="D834" s="1178"/>
      <c r="E834" s="241">
        <f>+P889</f>
        <v>18.05</v>
      </c>
      <c r="F834" s="317" t="s">
        <v>8</v>
      </c>
      <c r="G834" s="350">
        <v>4800</v>
      </c>
      <c r="H834" s="252" t="s">
        <v>741</v>
      </c>
      <c r="I834" s="326">
        <f>+R889</f>
        <v>1.1000000000000001</v>
      </c>
      <c r="J834" s="326">
        <f>+S889</f>
        <v>0.99065420560747663</v>
      </c>
      <c r="K834" s="153">
        <f>+E834*G834*I834*J834</f>
        <v>94413.308411214966</v>
      </c>
      <c r="L834" s="20" t="s">
        <v>10</v>
      </c>
      <c r="M834" s="1146"/>
      <c r="P834" s="34"/>
      <c r="Q834" s="34"/>
      <c r="R834" s="34"/>
      <c r="S834" s="44"/>
      <c r="T834" s="44"/>
      <c r="U834" s="34"/>
    </row>
    <row r="835" spans="1:21" s="32" customFormat="1" ht="30" customHeight="1">
      <c r="A835" s="20"/>
      <c r="B835" s="1224"/>
      <c r="C835" s="1224"/>
      <c r="D835" s="1224"/>
      <c r="E835" s="153"/>
      <c r="F835" s="20"/>
      <c r="G835" s="395"/>
      <c r="H835" s="329"/>
      <c r="I835" s="20"/>
      <c r="J835" s="20" t="s">
        <v>379</v>
      </c>
      <c r="K835" s="153">
        <f>SUM(K817:K834)</f>
        <v>25395395.529234115</v>
      </c>
      <c r="L835" s="20" t="s">
        <v>10</v>
      </c>
      <c r="M835" s="1146"/>
      <c r="N835" s="125"/>
      <c r="O835" s="33"/>
    </row>
    <row r="836" spans="1:21" s="38" customFormat="1" ht="30" customHeight="1">
      <c r="A836" s="20"/>
      <c r="B836" s="20"/>
      <c r="C836" s="18"/>
      <c r="D836" s="18"/>
      <c r="E836" s="18"/>
      <c r="F836" s="18"/>
      <c r="G836" s="18"/>
      <c r="H836" s="18"/>
      <c r="I836" s="18"/>
      <c r="J836" s="20" t="s">
        <v>289</v>
      </c>
      <c r="K836" s="23">
        <f>+K835</f>
        <v>25395395.529234115</v>
      </c>
      <c r="L836" s="20" t="s">
        <v>10</v>
      </c>
      <c r="M836" s="1146"/>
      <c r="N836" s="193"/>
      <c r="O836" s="1119"/>
    </row>
    <row r="837" spans="1:21" ht="30" customHeight="1">
      <c r="A837" s="20"/>
      <c r="B837" s="20"/>
      <c r="C837" s="18"/>
      <c r="D837" s="18"/>
      <c r="E837" s="18"/>
      <c r="F837" s="18"/>
      <c r="G837" s="176" t="s">
        <v>312</v>
      </c>
      <c r="H837" s="13"/>
      <c r="I837" s="13"/>
      <c r="J837" s="139">
        <f>VLOOKUP(B814,'Mil Cost Premiums for RUCs'!$A$4:$R$266,18,FALSE)</f>
        <v>1.0821211439999998</v>
      </c>
      <c r="K837" s="14">
        <f>+K836*J837</f>
        <v>27480894.462427299</v>
      </c>
      <c r="L837" s="20" t="s">
        <v>10</v>
      </c>
      <c r="M837" s="1146"/>
      <c r="N837" s="85"/>
    </row>
    <row r="838" spans="1:21" ht="60" customHeight="1">
      <c r="A838" s="1337" t="s">
        <v>313</v>
      </c>
      <c r="B838" s="1338"/>
      <c r="C838" s="1338"/>
      <c r="D838" s="1338"/>
      <c r="E838" s="1338"/>
      <c r="F838" s="1338"/>
      <c r="G838" s="1338"/>
      <c r="H838" s="1338"/>
      <c r="I838" s="1338"/>
      <c r="J838" s="1338"/>
      <c r="K838" s="1338"/>
      <c r="L838" s="1339"/>
      <c r="M838" s="1146"/>
      <c r="P838" s="34"/>
      <c r="Q838" s="34"/>
      <c r="R838" s="34"/>
      <c r="S838" s="44"/>
      <c r="T838" s="44"/>
      <c r="U838" s="34"/>
    </row>
    <row r="839" spans="1:21" ht="30" customHeight="1">
      <c r="A839" s="1428" t="s">
        <v>314</v>
      </c>
      <c r="B839" s="1429"/>
      <c r="C839" s="1430"/>
      <c r="D839" s="1270" t="s">
        <v>2885</v>
      </c>
      <c r="E839" s="1371"/>
      <c r="F839" s="1371"/>
      <c r="G839" s="1371"/>
      <c r="H839" s="1371"/>
      <c r="I839" s="1371"/>
      <c r="J839" s="1371"/>
      <c r="K839" s="1371"/>
      <c r="L839" s="1372"/>
      <c r="M839" s="1146"/>
      <c r="P839" s="34"/>
      <c r="Q839" s="34"/>
      <c r="R839" s="34"/>
      <c r="S839" s="44"/>
      <c r="T839" s="44"/>
      <c r="U839" s="34"/>
    </row>
    <row r="840" spans="1:21" ht="30" customHeight="1">
      <c r="A840" s="1428" t="s">
        <v>316</v>
      </c>
      <c r="B840" s="1429"/>
      <c r="C840" s="1430"/>
      <c r="D840" s="1270" t="s">
        <v>810</v>
      </c>
      <c r="E840" s="1371"/>
      <c r="F840" s="1371"/>
      <c r="G840" s="1371"/>
      <c r="H840" s="1371"/>
      <c r="I840" s="1371"/>
      <c r="J840" s="1371"/>
      <c r="K840" s="1371"/>
      <c r="L840" s="1372"/>
      <c r="M840" s="1146"/>
      <c r="N840" s="1103"/>
      <c r="O840"/>
      <c r="P840" s="159"/>
      <c r="Q840" s="147"/>
      <c r="R840" s="149"/>
    </row>
    <row r="841" spans="1:21" s="38" customFormat="1" ht="30" customHeight="1">
      <c r="A841" s="1428" t="s">
        <v>317</v>
      </c>
      <c r="B841" s="1429"/>
      <c r="C841" s="1430"/>
      <c r="D841" s="1270" t="s">
        <v>811</v>
      </c>
      <c r="E841" s="1371"/>
      <c r="F841" s="1371"/>
      <c r="G841" s="1371"/>
      <c r="H841" s="1371"/>
      <c r="I841" s="1371"/>
      <c r="J841" s="1371"/>
      <c r="K841" s="1371"/>
      <c r="L841" s="1372"/>
      <c r="M841" s="1146"/>
      <c r="N841" s="1103"/>
      <c r="P841" s="159"/>
      <c r="Q841" s="147"/>
      <c r="R841" s="149"/>
    </row>
    <row r="842" spans="1:21" ht="30" customHeight="1">
      <c r="A842" s="1428" t="s">
        <v>318</v>
      </c>
      <c r="B842" s="1429"/>
      <c r="C842" s="1430"/>
      <c r="D842" s="1270" t="s">
        <v>812</v>
      </c>
      <c r="E842" s="1371"/>
      <c r="F842" s="1371"/>
      <c r="G842" s="1371"/>
      <c r="H842" s="1371"/>
      <c r="I842" s="1371"/>
      <c r="J842" s="1371"/>
      <c r="K842" s="1371"/>
      <c r="L842" s="1372"/>
      <c r="M842" s="1146"/>
      <c r="N842" s="1103"/>
      <c r="O842"/>
      <c r="P842" s="159"/>
      <c r="Q842" s="147"/>
      <c r="R842" s="149"/>
    </row>
    <row r="843" spans="1:21" ht="30" customHeight="1">
      <c r="A843" s="1428" t="s">
        <v>320</v>
      </c>
      <c r="B843" s="1429"/>
      <c r="C843" s="1430"/>
      <c r="D843" s="1270" t="s">
        <v>708</v>
      </c>
      <c r="E843" s="1371"/>
      <c r="F843" s="1371"/>
      <c r="G843" s="1371"/>
      <c r="H843" s="1371"/>
      <c r="I843" s="1371"/>
      <c r="J843" s="1371"/>
      <c r="K843" s="1371"/>
      <c r="L843" s="1372"/>
      <c r="M843" s="1146"/>
      <c r="N843" s="1103"/>
      <c r="O843"/>
      <c r="P843" s="159"/>
      <c r="Q843" s="147"/>
      <c r="R843" s="149"/>
    </row>
    <row r="844" spans="1:21" ht="30" customHeight="1">
      <c r="A844" s="1428" t="s">
        <v>322</v>
      </c>
      <c r="B844" s="1429"/>
      <c r="C844" s="1430"/>
      <c r="D844" s="1270" t="s">
        <v>709</v>
      </c>
      <c r="E844" s="1371"/>
      <c r="F844" s="1371"/>
      <c r="G844" s="1371"/>
      <c r="H844" s="1371"/>
      <c r="I844" s="1371"/>
      <c r="J844" s="1371"/>
      <c r="K844" s="1371"/>
      <c r="L844" s="1372"/>
      <c r="M844" s="1146"/>
      <c r="N844" s="1103"/>
      <c r="O844"/>
      <c r="P844" s="159"/>
      <c r="Q844" s="147"/>
      <c r="R844" s="149"/>
    </row>
    <row r="845" spans="1:21" ht="30" customHeight="1">
      <c r="A845" s="1428" t="s">
        <v>324</v>
      </c>
      <c r="B845" s="1429"/>
      <c r="C845" s="1430"/>
      <c r="D845" s="1331" t="s">
        <v>710</v>
      </c>
      <c r="E845" s="1256"/>
      <c r="F845" s="1256"/>
      <c r="G845" s="1256"/>
      <c r="H845" s="1256"/>
      <c r="I845" s="1256"/>
      <c r="J845" s="1256"/>
      <c r="K845" s="1256"/>
      <c r="L845" s="1257"/>
      <c r="M845" s="1146"/>
      <c r="N845" s="1103"/>
      <c r="O845"/>
      <c r="P845" s="159"/>
      <c r="Q845" s="147"/>
      <c r="R845" s="149"/>
    </row>
    <row r="846" spans="1:21" ht="60" customHeight="1">
      <c r="A846" s="1428" t="s">
        <v>499</v>
      </c>
      <c r="B846" s="1429"/>
      <c r="C846" s="1430"/>
      <c r="D846" s="1422" t="s">
        <v>712</v>
      </c>
      <c r="E846" s="1423"/>
      <c r="F846" s="1423"/>
      <c r="G846" s="1423"/>
      <c r="H846" s="1423"/>
      <c r="I846" s="1423"/>
      <c r="J846" s="1423"/>
      <c r="K846" s="1423"/>
      <c r="L846" s="1424"/>
      <c r="M846" s="1146"/>
      <c r="N846" s="282"/>
      <c r="O846" s="34"/>
      <c r="P846" s="283"/>
      <c r="Q846" s="282"/>
      <c r="R846" s="284"/>
    </row>
    <row r="847" spans="1:21" ht="45" customHeight="1" thickBot="1">
      <c r="A847" s="1331" t="s">
        <v>327</v>
      </c>
      <c r="B847" s="1256"/>
      <c r="C847" s="1257"/>
      <c r="D847" s="1337" t="s">
        <v>2540</v>
      </c>
      <c r="E847" s="1338"/>
      <c r="F847" s="1338"/>
      <c r="G847" s="1338"/>
      <c r="H847" s="1338"/>
      <c r="I847" s="1338"/>
      <c r="J847" s="1338"/>
      <c r="K847" s="1338"/>
      <c r="L847" s="1339"/>
      <c r="M847" s="1146"/>
      <c r="N847" s="282"/>
      <c r="O847" s="34"/>
      <c r="P847" s="283"/>
      <c r="Q847" s="282"/>
      <c r="R847" s="284"/>
    </row>
    <row r="848" spans="1:21" ht="30" customHeight="1" thickBot="1">
      <c r="A848" s="1165"/>
      <c r="B848" s="1166"/>
      <c r="C848" s="1166"/>
      <c r="D848" s="1166"/>
      <c r="E848" s="1166"/>
      <c r="F848" s="1166"/>
      <c r="G848" s="1166"/>
      <c r="H848" s="1166"/>
      <c r="I848" s="1166"/>
      <c r="J848" s="1166"/>
      <c r="K848" s="1166"/>
      <c r="L848" s="1167"/>
      <c r="M848" s="1146"/>
      <c r="N848" s="969"/>
      <c r="O848"/>
      <c r="P848" s="159"/>
      <c r="Q848" s="147"/>
      <c r="R848" s="149"/>
    </row>
    <row r="849" spans="1:21" ht="75" customHeight="1">
      <c r="A849" s="27" t="s">
        <v>280</v>
      </c>
      <c r="B849" s="82">
        <v>1773</v>
      </c>
      <c r="C849" s="1197" t="s">
        <v>813</v>
      </c>
      <c r="D849" s="1198"/>
      <c r="E849" s="74" t="s">
        <v>282</v>
      </c>
      <c r="F849" s="75" t="s">
        <v>49</v>
      </c>
      <c r="G849" s="181" t="s">
        <v>814</v>
      </c>
      <c r="H849" s="145">
        <v>4</v>
      </c>
      <c r="I849" s="74" t="s">
        <v>283</v>
      </c>
      <c r="J849" s="1199" t="s">
        <v>2618</v>
      </c>
      <c r="K849" s="1199"/>
      <c r="L849" s="1200"/>
      <c r="M849" s="1146"/>
      <c r="N849" s="526"/>
      <c r="O849"/>
      <c r="P849" s="159"/>
      <c r="Q849" s="147"/>
      <c r="R849" s="149"/>
    </row>
    <row r="850" spans="1:21" ht="30" customHeight="1">
      <c r="A850" s="35" t="s">
        <v>597</v>
      </c>
      <c r="B850" s="1201" t="s">
        <v>330</v>
      </c>
      <c r="C850" s="1202"/>
      <c r="D850" s="1203"/>
      <c r="E850" s="150" t="s">
        <v>295</v>
      </c>
      <c r="F850" s="150" t="s">
        <v>331</v>
      </c>
      <c r="G850" s="1204" t="s">
        <v>332</v>
      </c>
      <c r="H850" s="1205"/>
      <c r="I850" s="77" t="s">
        <v>305</v>
      </c>
      <c r="J850" s="285" t="s">
        <v>308</v>
      </c>
      <c r="K850" s="1312" t="s">
        <v>297</v>
      </c>
      <c r="L850" s="1313"/>
      <c r="M850" s="1146"/>
      <c r="N850" s="1103"/>
      <c r="O850"/>
      <c r="P850" s="159"/>
      <c r="Q850" s="147"/>
      <c r="R850" s="149"/>
    </row>
    <row r="851" spans="1:21" s="32" customFormat="1" ht="30" customHeight="1">
      <c r="A851" s="35"/>
      <c r="B851" s="1179" t="s">
        <v>815</v>
      </c>
      <c r="C851" s="1180"/>
      <c r="D851" s="1181"/>
      <c r="E851" s="150"/>
      <c r="F851" s="150"/>
      <c r="G851" s="347"/>
      <c r="H851" s="348"/>
      <c r="I851" s="244"/>
      <c r="J851" s="83"/>
      <c r="K851" s="362"/>
      <c r="L851" s="362"/>
      <c r="M851" s="1146"/>
      <c r="N851" s="125"/>
      <c r="O851" s="33"/>
    </row>
    <row r="852" spans="1:21" s="38" customFormat="1" ht="30" customHeight="1">
      <c r="A852" s="45" t="s">
        <v>538</v>
      </c>
      <c r="B852" s="1176" t="s">
        <v>816</v>
      </c>
      <c r="C852" s="1177"/>
      <c r="D852" s="1178"/>
      <c r="E852" s="354">
        <f>+P891</f>
        <v>9.15</v>
      </c>
      <c r="F852" s="20" t="s">
        <v>8</v>
      </c>
      <c r="G852" s="363">
        <f>6*62</f>
        <v>372</v>
      </c>
      <c r="H852" s="252" t="s">
        <v>701</v>
      </c>
      <c r="I852" s="326">
        <f>+R891</f>
        <v>1.05</v>
      </c>
      <c r="J852" s="326">
        <f>+S891</f>
        <v>0.99065420560747663</v>
      </c>
      <c r="K852" s="213">
        <f>+E852*G852*I852*J852</f>
        <v>3540.5882242990656</v>
      </c>
      <c r="L852" s="45" t="s">
        <v>49</v>
      </c>
      <c r="M852" s="1146"/>
      <c r="N852" s="968"/>
      <c r="O852" s="1119"/>
    </row>
    <row r="853" spans="1:21" s="32" customFormat="1" ht="30" customHeight="1">
      <c r="A853" s="45" t="s">
        <v>600</v>
      </c>
      <c r="B853" s="1176" t="s">
        <v>601</v>
      </c>
      <c r="C853" s="1177"/>
      <c r="D853" s="1178"/>
      <c r="E853" s="354">
        <f>+P895</f>
        <v>439.5</v>
      </c>
      <c r="F853" s="317" t="s">
        <v>10</v>
      </c>
      <c r="G853" s="363">
        <v>6</v>
      </c>
      <c r="H853" s="252" t="s">
        <v>729</v>
      </c>
      <c r="I853" s="326">
        <f>+R895</f>
        <v>1.07</v>
      </c>
      <c r="J853" s="326">
        <f>+S895</f>
        <v>0.99065420560747663</v>
      </c>
      <c r="K853" s="213">
        <f>+E853*G853*I853*J853</f>
        <v>2795.2200000000003</v>
      </c>
      <c r="L853" s="45" t="s">
        <v>49</v>
      </c>
      <c r="M853" s="1146"/>
      <c r="N853" s="950"/>
      <c r="O853" s="950"/>
    </row>
    <row r="854" spans="1:21" s="32" customFormat="1" ht="30" customHeight="1">
      <c r="A854" s="45" t="s">
        <v>600</v>
      </c>
      <c r="B854" s="1176" t="s">
        <v>603</v>
      </c>
      <c r="C854" s="1177"/>
      <c r="D854" s="1178"/>
      <c r="E854" s="354">
        <f>+P897</f>
        <v>316</v>
      </c>
      <c r="F854" s="317" t="s">
        <v>10</v>
      </c>
      <c r="G854" s="363">
        <v>6</v>
      </c>
      <c r="H854" s="252" t="s">
        <v>729</v>
      </c>
      <c r="I854" s="326">
        <f>+R897</f>
        <v>1.07</v>
      </c>
      <c r="J854" s="326">
        <f>+S897</f>
        <v>0.99065420560747663</v>
      </c>
      <c r="K854" s="213">
        <f>+E854*G854*I854*J854</f>
        <v>2009.76</v>
      </c>
      <c r="L854" s="45" t="s">
        <v>49</v>
      </c>
      <c r="M854" s="1146"/>
      <c r="N854" s="950"/>
      <c r="O854" s="950"/>
    </row>
    <row r="855" spans="1:21" s="32" customFormat="1" ht="30" customHeight="1">
      <c r="A855" s="45" t="s">
        <v>604</v>
      </c>
      <c r="B855" s="1224" t="s">
        <v>817</v>
      </c>
      <c r="C855" s="1224"/>
      <c r="D855" s="1224"/>
      <c r="E855" s="354">
        <f>+P900</f>
        <v>137.85</v>
      </c>
      <c r="F855" s="317" t="s">
        <v>10</v>
      </c>
      <c r="G855" s="363">
        <v>24</v>
      </c>
      <c r="H855" s="252" t="s">
        <v>729</v>
      </c>
      <c r="I855" s="326">
        <f>+R900</f>
        <v>1.07</v>
      </c>
      <c r="J855" s="326">
        <f>+S900</f>
        <v>0.99065420560747663</v>
      </c>
      <c r="K855" s="213">
        <f>+E855*G855*I855*J855</f>
        <v>3506.904</v>
      </c>
      <c r="L855" s="45" t="s">
        <v>49</v>
      </c>
      <c r="M855" s="1146"/>
    </row>
    <row r="856" spans="1:21" s="32" customFormat="1" ht="30" customHeight="1">
      <c r="A856" s="45" t="s">
        <v>606</v>
      </c>
      <c r="B856" s="1176" t="s">
        <v>818</v>
      </c>
      <c r="C856" s="1177"/>
      <c r="D856" s="1178"/>
      <c r="E856" s="354">
        <f>+P901</f>
        <v>17.110000000000003</v>
      </c>
      <c r="F856" s="317" t="s">
        <v>6</v>
      </c>
      <c r="G856" s="350">
        <f>346*6</f>
        <v>2076</v>
      </c>
      <c r="H856" s="252" t="s">
        <v>731</v>
      </c>
      <c r="I856" s="326">
        <f>+R901</f>
        <v>1.07</v>
      </c>
      <c r="J856" s="326">
        <f>+S901</f>
        <v>0.99065420560747663</v>
      </c>
      <c r="K856" s="213">
        <f>+E856*G856*I856*J856</f>
        <v>37651.581600000012</v>
      </c>
      <c r="L856" s="45" t="s">
        <v>49</v>
      </c>
      <c r="M856" s="1146"/>
    </row>
    <row r="857" spans="1:21" ht="30" customHeight="1">
      <c r="A857" s="45">
        <v>93410</v>
      </c>
      <c r="B857" s="1176" t="s">
        <v>819</v>
      </c>
      <c r="C857" s="1177"/>
      <c r="D857" s="1178"/>
      <c r="E857" s="354">
        <f>+P910</f>
        <v>8.1999999999999993</v>
      </c>
      <c r="F857" s="317" t="s">
        <v>285</v>
      </c>
      <c r="G857" s="350">
        <f>2354*2</f>
        <v>4708</v>
      </c>
      <c r="H857" s="252" t="s">
        <v>703</v>
      </c>
      <c r="I857" s="386">
        <f>+R910</f>
        <v>0.94232233454704462</v>
      </c>
      <c r="J857" s="20"/>
      <c r="K857" s="213">
        <f>+E857*G857*I857</f>
        <v>36378.919118589387</v>
      </c>
      <c r="L857" s="45" t="s">
        <v>49</v>
      </c>
      <c r="M857" s="1146"/>
      <c r="N857" s="612"/>
    </row>
    <row r="858" spans="1:21" ht="30" customHeight="1">
      <c r="A858" s="45">
        <v>93210</v>
      </c>
      <c r="B858" s="1188" t="s">
        <v>820</v>
      </c>
      <c r="C858" s="1189"/>
      <c r="D858" s="1190"/>
      <c r="E858" s="354"/>
      <c r="F858" s="262" t="s">
        <v>285</v>
      </c>
      <c r="G858" s="408">
        <v>39</v>
      </c>
      <c r="H858" s="252" t="s">
        <v>703</v>
      </c>
      <c r="I858" s="386">
        <f>+R912</f>
        <v>0.94232233454704462</v>
      </c>
      <c r="J858" s="20"/>
      <c r="K858" s="213">
        <f>+E858*G858*I858</f>
        <v>0</v>
      </c>
      <c r="L858" s="45" t="s">
        <v>49</v>
      </c>
      <c r="M858" s="1146"/>
      <c r="N858" s="612"/>
    </row>
    <row r="859" spans="1:21" ht="30" customHeight="1">
      <c r="A859" s="45"/>
      <c r="B859" s="1307"/>
      <c r="C859" s="1307"/>
      <c r="D859" s="1307"/>
      <c r="E859" s="213"/>
      <c r="F859" s="45"/>
      <c r="G859" s="395"/>
      <c r="H859" s="329"/>
      <c r="I859" s="20"/>
      <c r="J859" s="20" t="s">
        <v>379</v>
      </c>
      <c r="K859" s="213">
        <f>SUM(K852:K858)</f>
        <v>85882.972942888475</v>
      </c>
      <c r="L859" s="45" t="s">
        <v>49</v>
      </c>
      <c r="M859" s="1146"/>
      <c r="N859" s="612"/>
      <c r="P859" s="34"/>
      <c r="Q859" s="34"/>
      <c r="R859" s="34"/>
      <c r="S859" s="44"/>
      <c r="T859" s="44"/>
      <c r="U859" s="34"/>
    </row>
    <row r="860" spans="1:21" ht="30" customHeight="1" thickBot="1">
      <c r="A860" s="45"/>
      <c r="B860" s="45"/>
      <c r="C860" s="46"/>
      <c r="D860" s="46"/>
      <c r="E860" s="46"/>
      <c r="F860" s="46"/>
      <c r="G860" s="160" t="s">
        <v>312</v>
      </c>
      <c r="H860" s="18"/>
      <c r="I860" s="18"/>
      <c r="J860" s="139">
        <f>VLOOKUP(B849,'Mil Cost Premiums for RUCs'!$A$4:$R$266,18,FALSE)</f>
        <v>1.0485669999999998</v>
      </c>
      <c r="K860" s="21">
        <f>+K859*J860</f>
        <v>90054.05128980572</v>
      </c>
      <c r="L860" s="45" t="s">
        <v>49</v>
      </c>
      <c r="M860" s="1146"/>
      <c r="N860" s="612"/>
      <c r="P860" s="34"/>
      <c r="Q860" s="34"/>
      <c r="R860" s="34"/>
      <c r="S860" s="44"/>
      <c r="T860" s="44"/>
      <c r="U860" s="34"/>
    </row>
    <row r="861" spans="1:21" s="32" customFormat="1" ht="30" customHeight="1" thickBot="1">
      <c r="A861" s="1165"/>
      <c r="B861" s="1166"/>
      <c r="C861" s="1166"/>
      <c r="D861" s="1166"/>
      <c r="E861" s="1166"/>
      <c r="F861" s="1166"/>
      <c r="G861" s="1166"/>
      <c r="H861" s="1166"/>
      <c r="I861" s="1166"/>
      <c r="J861" s="1166"/>
      <c r="K861" s="1166"/>
      <c r="L861" s="1167"/>
      <c r="M861" s="1146"/>
      <c r="N861" s="125"/>
      <c r="O861" s="33"/>
    </row>
    <row r="862" spans="1:21" s="38" customFormat="1" ht="75" customHeight="1">
      <c r="A862" s="27" t="s">
        <v>280</v>
      </c>
      <c r="B862" s="28">
        <v>1774</v>
      </c>
      <c r="C862" s="1393" t="s">
        <v>821</v>
      </c>
      <c r="D862" s="1394"/>
      <c r="E862" s="30" t="s">
        <v>282</v>
      </c>
      <c r="F862" s="31" t="s">
        <v>10</v>
      </c>
      <c r="G862" s="70" t="s">
        <v>822</v>
      </c>
      <c r="H862" s="186">
        <v>1</v>
      </c>
      <c r="I862" s="30" t="s">
        <v>283</v>
      </c>
      <c r="J862" s="1199" t="s">
        <v>2611</v>
      </c>
      <c r="K862" s="1199"/>
      <c r="L862" s="1200"/>
      <c r="M862" s="1146"/>
      <c r="N862" s="193"/>
      <c r="O862" s="1119"/>
    </row>
    <row r="863" spans="1:21" ht="30" customHeight="1">
      <c r="A863" s="35" t="s">
        <v>597</v>
      </c>
      <c r="B863" s="1300" t="s">
        <v>330</v>
      </c>
      <c r="C863" s="1301"/>
      <c r="D863" s="1302"/>
      <c r="E863" s="362" t="s">
        <v>295</v>
      </c>
      <c r="F863" s="362" t="s">
        <v>331</v>
      </c>
      <c r="G863" s="1356" t="s">
        <v>332</v>
      </c>
      <c r="H863" s="1357"/>
      <c r="I863" s="77" t="s">
        <v>305</v>
      </c>
      <c r="J863" s="285" t="s">
        <v>308</v>
      </c>
      <c r="K863" s="1312" t="s">
        <v>297</v>
      </c>
      <c r="L863" s="1313"/>
      <c r="M863" s="1146"/>
      <c r="N863" s="612"/>
    </row>
    <row r="864" spans="1:21" ht="30" customHeight="1">
      <c r="A864" s="35"/>
      <c r="B864" s="1383" t="s">
        <v>823</v>
      </c>
      <c r="C864" s="1384"/>
      <c r="D864" s="1385"/>
      <c r="E864" s="362"/>
      <c r="F864" s="362"/>
      <c r="G864" s="392"/>
      <c r="H864" s="393"/>
      <c r="I864" s="83"/>
      <c r="J864" s="83"/>
      <c r="K864" s="362"/>
      <c r="L864" s="362"/>
      <c r="M864" s="1146"/>
      <c r="N864" s="612"/>
      <c r="P864" s="34"/>
      <c r="Q864" s="34"/>
      <c r="R864" s="34"/>
      <c r="S864" s="44"/>
      <c r="T864" s="44"/>
      <c r="U864" s="34"/>
    </row>
    <row r="865" spans="1:21" ht="30" customHeight="1">
      <c r="A865" s="45" t="s">
        <v>538</v>
      </c>
      <c r="B865" s="1188" t="s">
        <v>824</v>
      </c>
      <c r="C865" s="1189"/>
      <c r="D865" s="1190"/>
      <c r="E865" s="354">
        <f>+P891</f>
        <v>9.15</v>
      </c>
      <c r="F865" s="45" t="s">
        <v>8</v>
      </c>
      <c r="G865" s="350">
        <f>31*62</f>
        <v>1922</v>
      </c>
      <c r="H865" s="259" t="s">
        <v>741</v>
      </c>
      <c r="I865" s="326">
        <f>+R891</f>
        <v>1.05</v>
      </c>
      <c r="J865" s="326">
        <f>+S891</f>
        <v>0.99065420560747663</v>
      </c>
      <c r="K865" s="213">
        <f t="shared" ref="K865:K870" si="18">+E865*G865*I865*J865</f>
        <v>18293.039158878506</v>
      </c>
      <c r="L865" s="45" t="s">
        <v>10</v>
      </c>
      <c r="M865" s="1146"/>
      <c r="P865" s="34"/>
      <c r="Q865" s="34"/>
      <c r="R865" s="34"/>
      <c r="S865" s="44"/>
      <c r="T865" s="44"/>
      <c r="U865" s="34"/>
    </row>
    <row r="866" spans="1:21" s="32" customFormat="1" ht="30" customHeight="1">
      <c r="A866" s="45" t="s">
        <v>600</v>
      </c>
      <c r="B866" s="1188" t="s">
        <v>601</v>
      </c>
      <c r="C866" s="1189"/>
      <c r="D866" s="1190"/>
      <c r="E866" s="354">
        <f>+P895</f>
        <v>439.5</v>
      </c>
      <c r="F866" s="262" t="s">
        <v>10</v>
      </c>
      <c r="G866" s="363">
        <v>31</v>
      </c>
      <c r="H866" s="259" t="s">
        <v>742</v>
      </c>
      <c r="I866" s="326">
        <f>+R895</f>
        <v>1.07</v>
      </c>
      <c r="J866" s="326">
        <f>+S895</f>
        <v>0.99065420560747663</v>
      </c>
      <c r="K866" s="213">
        <f t="shared" si="18"/>
        <v>14441.97</v>
      </c>
      <c r="L866" s="45" t="s">
        <v>10</v>
      </c>
      <c r="M866" s="1146"/>
      <c r="N866" s="364"/>
      <c r="O866" s="33"/>
    </row>
    <row r="867" spans="1:21" s="38" customFormat="1" ht="30" customHeight="1">
      <c r="A867" s="45" t="s">
        <v>600</v>
      </c>
      <c r="B867" s="1188" t="s">
        <v>603</v>
      </c>
      <c r="C867" s="1189"/>
      <c r="D867" s="1190"/>
      <c r="E867" s="354">
        <f>+P897</f>
        <v>316</v>
      </c>
      <c r="F867" s="262" t="s">
        <v>10</v>
      </c>
      <c r="G867" s="363">
        <v>31</v>
      </c>
      <c r="H867" s="259" t="s">
        <v>742</v>
      </c>
      <c r="I867" s="326">
        <f>+R897</f>
        <v>1.07</v>
      </c>
      <c r="J867" s="326">
        <f>+S897</f>
        <v>0.99065420560747663</v>
      </c>
      <c r="K867" s="213">
        <f t="shared" si="18"/>
        <v>10383.760000000002</v>
      </c>
      <c r="L867" s="45" t="s">
        <v>10</v>
      </c>
      <c r="M867" s="1146"/>
      <c r="N867" s="968"/>
      <c r="O867" s="1119"/>
    </row>
    <row r="868" spans="1:21" ht="30" customHeight="1">
      <c r="A868" s="45" t="s">
        <v>604</v>
      </c>
      <c r="B868" s="1307" t="s">
        <v>817</v>
      </c>
      <c r="C868" s="1307"/>
      <c r="D868" s="1307"/>
      <c r="E868" s="354">
        <f>+P900</f>
        <v>137.85</v>
      </c>
      <c r="F868" s="262" t="s">
        <v>10</v>
      </c>
      <c r="G868" s="363">
        <f>31*4</f>
        <v>124</v>
      </c>
      <c r="H868" s="259" t="s">
        <v>742</v>
      </c>
      <c r="I868" s="326">
        <f>+R900</f>
        <v>1.07</v>
      </c>
      <c r="J868" s="326">
        <f>+S900</f>
        <v>0.99065420560747663</v>
      </c>
      <c r="K868" s="213">
        <f t="shared" si="18"/>
        <v>18119.003999999997</v>
      </c>
      <c r="L868" s="45" t="s">
        <v>10</v>
      </c>
      <c r="M868" s="1146"/>
      <c r="N868" s="612"/>
    </row>
    <row r="869" spans="1:21" ht="30" customHeight="1">
      <c r="A869" s="45" t="s">
        <v>606</v>
      </c>
      <c r="B869" s="1188" t="s">
        <v>650</v>
      </c>
      <c r="C869" s="1189"/>
      <c r="D869" s="1190"/>
      <c r="E869" s="354">
        <f>+P901</f>
        <v>17.110000000000003</v>
      </c>
      <c r="F869" s="262" t="s">
        <v>6</v>
      </c>
      <c r="G869" s="350">
        <v>8152</v>
      </c>
      <c r="H869" s="259" t="s">
        <v>745</v>
      </c>
      <c r="I869" s="326">
        <f>+R901</f>
        <v>1.07</v>
      </c>
      <c r="J869" s="326">
        <f>+S901</f>
        <v>0.99065420560747663</v>
      </c>
      <c r="K869" s="213">
        <f t="shared" si="18"/>
        <v>147849.56320000003</v>
      </c>
      <c r="L869" s="45" t="s">
        <v>10</v>
      </c>
      <c r="M869" s="1146"/>
      <c r="N869" s="39"/>
    </row>
    <row r="870" spans="1:21" ht="30" customHeight="1">
      <c r="A870" s="45" t="s">
        <v>538</v>
      </c>
      <c r="B870" s="1188" t="s">
        <v>825</v>
      </c>
      <c r="C870" s="1189"/>
      <c r="D870" s="1190"/>
      <c r="E870" s="241">
        <f>+P891</f>
        <v>9.15</v>
      </c>
      <c r="F870" s="262" t="s">
        <v>8</v>
      </c>
      <c r="G870" s="363">
        <f>5*104</f>
        <v>520</v>
      </c>
      <c r="H870" s="259" t="s">
        <v>742</v>
      </c>
      <c r="I870" s="326">
        <f>+R891</f>
        <v>1.05</v>
      </c>
      <c r="J870" s="326">
        <f>+S891</f>
        <v>0.99065420560747663</v>
      </c>
      <c r="K870" s="213">
        <f t="shared" si="18"/>
        <v>4949.2093457943929</v>
      </c>
      <c r="L870" s="45" t="s">
        <v>10</v>
      </c>
      <c r="M870" s="1146"/>
      <c r="P870" s="34"/>
      <c r="Q870" s="34"/>
      <c r="R870" s="34"/>
      <c r="S870" s="44"/>
      <c r="T870" s="44"/>
      <c r="U870" s="34"/>
    </row>
    <row r="871" spans="1:21" ht="30" customHeight="1">
      <c r="A871" s="45">
        <v>93410</v>
      </c>
      <c r="B871" s="1188" t="s">
        <v>826</v>
      </c>
      <c r="C871" s="1189"/>
      <c r="D871" s="1190"/>
      <c r="E871" s="354">
        <f>+P910</f>
        <v>8.1999999999999993</v>
      </c>
      <c r="F871" s="262" t="s">
        <v>285</v>
      </c>
      <c r="G871" s="394">
        <v>785</v>
      </c>
      <c r="H871" s="259" t="s">
        <v>611</v>
      </c>
      <c r="I871" s="383">
        <f>+R910</f>
        <v>0.94232233454704462</v>
      </c>
      <c r="J871" s="20"/>
      <c r="K871" s="213">
        <f>+E871*G871*I871</f>
        <v>6065.7288674793253</v>
      </c>
      <c r="L871" s="45" t="s">
        <v>10</v>
      </c>
      <c r="M871" s="1146"/>
      <c r="P871" s="34"/>
      <c r="Q871" s="34"/>
      <c r="R871" s="34"/>
      <c r="S871" s="44"/>
      <c r="T871" s="44"/>
      <c r="U871" s="34"/>
    </row>
    <row r="872" spans="1:21" s="32" customFormat="1" ht="30" customHeight="1">
      <c r="A872" s="45">
        <v>93210</v>
      </c>
      <c r="B872" s="1188" t="s">
        <v>827</v>
      </c>
      <c r="C872" s="1189"/>
      <c r="D872" s="1190"/>
      <c r="E872" s="354">
        <f>+P912</f>
        <v>45.8</v>
      </c>
      <c r="F872" s="262" t="s">
        <v>285</v>
      </c>
      <c r="G872" s="394">
        <v>353</v>
      </c>
      <c r="H872" s="259" t="s">
        <v>611</v>
      </c>
      <c r="I872" s="386">
        <f>+R912</f>
        <v>0.94232233454704462</v>
      </c>
      <c r="J872" s="20"/>
      <c r="K872" s="213">
        <f>+E872*G872*I872</f>
        <v>15234.902111555888</v>
      </c>
      <c r="L872" s="45" t="s">
        <v>10</v>
      </c>
      <c r="M872" s="1146"/>
      <c r="N872" s="985"/>
      <c r="O872" s="33"/>
    </row>
    <row r="873" spans="1:21" s="38" customFormat="1" ht="30" customHeight="1">
      <c r="A873" s="45"/>
      <c r="B873" s="1307"/>
      <c r="C873" s="1307"/>
      <c r="D873" s="1307"/>
      <c r="E873" s="213"/>
      <c r="F873" s="45"/>
      <c r="G873" s="382"/>
      <c r="H873" s="264"/>
      <c r="I873" s="20"/>
      <c r="J873" s="20" t="s">
        <v>379</v>
      </c>
      <c r="K873" s="213">
        <f>SUM(K865:K872)</f>
        <v>235337.17668370815</v>
      </c>
      <c r="L873" s="45" t="s">
        <v>10</v>
      </c>
      <c r="M873" s="1146"/>
      <c r="N873" s="1044"/>
      <c r="O873" s="1119"/>
    </row>
    <row r="874" spans="1:21" ht="30" customHeight="1" thickBot="1">
      <c r="A874" s="45"/>
      <c r="B874" s="45"/>
      <c r="C874" s="46"/>
      <c r="D874" s="46"/>
      <c r="E874" s="46"/>
      <c r="F874" s="46"/>
      <c r="G874" s="176" t="s">
        <v>312</v>
      </c>
      <c r="H874" s="46"/>
      <c r="I874" s="18"/>
      <c r="J874" s="139">
        <f>VLOOKUP(B862,'Mil Cost Premiums for RUCs'!$A$4:$R$266,18,FALSE)</f>
        <v>1.0485669999999998</v>
      </c>
      <c r="K874" s="21">
        <f>+K873*J874</f>
        <v>246766.79734370575</v>
      </c>
      <c r="L874" s="45" t="s">
        <v>10</v>
      </c>
      <c r="M874" s="1146"/>
      <c r="N874" s="986"/>
    </row>
    <row r="875" spans="1:21" ht="30" customHeight="1" thickBot="1">
      <c r="A875" s="1165"/>
      <c r="B875" s="1166"/>
      <c r="C875" s="1166"/>
      <c r="D875" s="1166"/>
      <c r="E875" s="1166"/>
      <c r="F875" s="1166"/>
      <c r="G875" s="1166"/>
      <c r="H875" s="1166"/>
      <c r="I875" s="1166"/>
      <c r="J875" s="1166"/>
      <c r="K875" s="1166"/>
      <c r="L875" s="1167"/>
      <c r="M875" s="1146"/>
      <c r="N875" s="1103"/>
      <c r="O875"/>
      <c r="P875" s="159"/>
      <c r="Q875" s="147"/>
      <c r="R875" s="149"/>
    </row>
    <row r="876" spans="1:21" ht="75" customHeight="1">
      <c r="A876" s="27" t="s">
        <v>280</v>
      </c>
      <c r="B876" s="28">
        <v>1775</v>
      </c>
      <c r="C876" s="1426" t="s">
        <v>828</v>
      </c>
      <c r="D876" s="1427"/>
      <c r="E876" s="30" t="s">
        <v>282</v>
      </c>
      <c r="F876" s="31" t="s">
        <v>10</v>
      </c>
      <c r="G876" s="70" t="s">
        <v>829</v>
      </c>
      <c r="H876" s="186">
        <v>1</v>
      </c>
      <c r="I876" s="30" t="s">
        <v>283</v>
      </c>
      <c r="J876" s="1199" t="s">
        <v>2611</v>
      </c>
      <c r="K876" s="1199"/>
      <c r="L876" s="1200"/>
      <c r="M876" s="1146"/>
      <c r="N876" s="1103"/>
      <c r="O876"/>
      <c r="P876" s="159"/>
      <c r="Q876" s="147"/>
      <c r="R876" s="149"/>
    </row>
    <row r="877" spans="1:21" ht="30" customHeight="1">
      <c r="A877" s="35" t="s">
        <v>597</v>
      </c>
      <c r="B877" s="1300" t="s">
        <v>330</v>
      </c>
      <c r="C877" s="1301"/>
      <c r="D877" s="1302"/>
      <c r="E877" s="150" t="s">
        <v>295</v>
      </c>
      <c r="F877" s="150" t="s">
        <v>331</v>
      </c>
      <c r="G877" s="1204" t="s">
        <v>332</v>
      </c>
      <c r="H877" s="1205"/>
      <c r="I877" s="77" t="s">
        <v>305</v>
      </c>
      <c r="J877" s="151" t="s">
        <v>308</v>
      </c>
      <c r="K877" s="1312" t="s">
        <v>297</v>
      </c>
      <c r="L877" s="1313"/>
      <c r="M877" s="1146"/>
      <c r="N877" s="1103"/>
      <c r="O877"/>
      <c r="P877" s="159"/>
      <c r="Q877" s="147"/>
      <c r="R877" s="149"/>
    </row>
    <row r="878" spans="1:21" s="38" customFormat="1" ht="30" customHeight="1">
      <c r="A878" s="35"/>
      <c r="B878" s="1383" t="s">
        <v>830</v>
      </c>
      <c r="C878" s="1384"/>
      <c r="D878" s="1385"/>
      <c r="E878" s="150"/>
      <c r="F878" s="150"/>
      <c r="G878" s="347"/>
      <c r="H878" s="348"/>
      <c r="I878" s="244"/>
      <c r="J878" s="244"/>
      <c r="K878" s="362"/>
      <c r="L878" s="362"/>
      <c r="M878" s="1146"/>
      <c r="N878" s="1103"/>
      <c r="P878" s="159"/>
      <c r="Q878" s="147"/>
      <c r="R878" s="149"/>
    </row>
    <row r="879" spans="1:21" ht="30" customHeight="1">
      <c r="A879" s="45" t="s">
        <v>538</v>
      </c>
      <c r="B879" s="1188" t="s">
        <v>831</v>
      </c>
      <c r="C879" s="1189"/>
      <c r="D879" s="1190"/>
      <c r="E879" s="354">
        <f>+P891</f>
        <v>9.15</v>
      </c>
      <c r="F879" s="20" t="s">
        <v>8</v>
      </c>
      <c r="G879" s="350">
        <f>20*62</f>
        <v>1240</v>
      </c>
      <c r="H879" s="252" t="s">
        <v>741</v>
      </c>
      <c r="I879" s="326">
        <f>+R891</f>
        <v>1.05</v>
      </c>
      <c r="J879" s="326">
        <f>+S891</f>
        <v>0.99065420560747663</v>
      </c>
      <c r="K879" s="213">
        <f t="shared" ref="K879:K890" si="19">+E879*G879*I879*J879</f>
        <v>11801.960747663552</v>
      </c>
      <c r="L879" s="45" t="s">
        <v>10</v>
      </c>
      <c r="M879" s="1146"/>
      <c r="N879" s="803"/>
      <c r="O879" s="59"/>
      <c r="P879" s="308"/>
      <c r="Q879" s="307"/>
      <c r="R879" s="309"/>
    </row>
    <row r="880" spans="1:21" s="59" customFormat="1" ht="30" customHeight="1">
      <c r="A880" s="45" t="s">
        <v>600</v>
      </c>
      <c r="B880" s="1188" t="s">
        <v>601</v>
      </c>
      <c r="C880" s="1189"/>
      <c r="D880" s="1190"/>
      <c r="E880" s="354">
        <f>+P895</f>
        <v>439.5</v>
      </c>
      <c r="F880" s="317" t="s">
        <v>10</v>
      </c>
      <c r="G880" s="350">
        <v>20</v>
      </c>
      <c r="H880" s="252" t="s">
        <v>742</v>
      </c>
      <c r="I880" s="326">
        <f>+R895</f>
        <v>1.07</v>
      </c>
      <c r="J880" s="326">
        <f>+S895</f>
        <v>0.99065420560747663</v>
      </c>
      <c r="K880" s="213">
        <f t="shared" si="19"/>
        <v>9317.4000000000015</v>
      </c>
      <c r="L880" s="45" t="s">
        <v>10</v>
      </c>
      <c r="M880" s="1146"/>
      <c r="N880" s="1103"/>
      <c r="O880"/>
      <c r="P880" s="159"/>
      <c r="Q880" s="147"/>
      <c r="R880" s="149"/>
      <c r="S880"/>
    </row>
    <row r="881" spans="1:20" s="59" customFormat="1" ht="30" customHeight="1">
      <c r="A881" s="45" t="s">
        <v>600</v>
      </c>
      <c r="B881" s="1307" t="s">
        <v>603</v>
      </c>
      <c r="C881" s="1307"/>
      <c r="D881" s="1307"/>
      <c r="E881" s="354">
        <f>+P897</f>
        <v>316</v>
      </c>
      <c r="F881" s="317" t="s">
        <v>10</v>
      </c>
      <c r="G881" s="350">
        <v>20</v>
      </c>
      <c r="H881" s="252" t="s">
        <v>742</v>
      </c>
      <c r="I881" s="326">
        <f>+R897</f>
        <v>1.07</v>
      </c>
      <c r="J881" s="326">
        <f>+S897</f>
        <v>0.99065420560747663</v>
      </c>
      <c r="K881" s="213">
        <f t="shared" si="19"/>
        <v>6699.2000000000007</v>
      </c>
      <c r="L881" s="45" t="s">
        <v>10</v>
      </c>
      <c r="M881" s="1146"/>
      <c r="N881" s="1103"/>
      <c r="O881"/>
      <c r="P881" s="159"/>
      <c r="Q881" s="147"/>
      <c r="R881" s="149"/>
      <c r="S881"/>
    </row>
    <row r="882" spans="1:20" s="59" customFormat="1" ht="30" customHeight="1">
      <c r="A882" s="45" t="s">
        <v>538</v>
      </c>
      <c r="B882" s="1307" t="s">
        <v>832</v>
      </c>
      <c r="C882" s="1307"/>
      <c r="D882" s="1307"/>
      <c r="E882" s="354">
        <f>+P892</f>
        <v>11.17</v>
      </c>
      <c r="F882" s="20" t="s">
        <v>8</v>
      </c>
      <c r="G882" s="350">
        <f>6*468</f>
        <v>2808</v>
      </c>
      <c r="H882" s="252" t="s">
        <v>741</v>
      </c>
      <c r="I882" s="326">
        <f>+R892</f>
        <v>1.05</v>
      </c>
      <c r="J882" s="326">
        <f>+S892</f>
        <v>0.99065420560747663</v>
      </c>
      <c r="K882" s="213">
        <f t="shared" si="19"/>
        <v>32625.837084112154</v>
      </c>
      <c r="L882" s="45" t="s">
        <v>10</v>
      </c>
      <c r="M882" s="1146"/>
      <c r="N882" s="444"/>
      <c r="O882"/>
      <c r="P882" s="159"/>
      <c r="Q882" s="147"/>
      <c r="R882" s="149"/>
      <c r="S882"/>
    </row>
    <row r="883" spans="1:20" ht="30" customHeight="1">
      <c r="A883" s="45" t="s">
        <v>480</v>
      </c>
      <c r="B883" s="1307" t="s">
        <v>833</v>
      </c>
      <c r="C883" s="1307"/>
      <c r="D883" s="1307"/>
      <c r="E883" s="354">
        <f>+P893</f>
        <v>17.95</v>
      </c>
      <c r="F883" s="20" t="s">
        <v>8</v>
      </c>
      <c r="G883" s="350">
        <f>2152*1</f>
        <v>2152</v>
      </c>
      <c r="H883" s="252" t="s">
        <v>741</v>
      </c>
      <c r="I883" s="326">
        <f>+R893</f>
        <v>1.07</v>
      </c>
      <c r="J883" s="326">
        <f>+S893</f>
        <v>0.99065420560747663</v>
      </c>
      <c r="K883" s="213">
        <f t="shared" si="19"/>
        <v>40946.104000000007</v>
      </c>
      <c r="L883" s="45" t="s">
        <v>10</v>
      </c>
      <c r="M883" s="1146"/>
      <c r="N883" s="282"/>
      <c r="O883" s="34"/>
      <c r="P883" s="283"/>
      <c r="Q883" s="282"/>
      <c r="R883" s="284"/>
    </row>
    <row r="884" spans="1:20" ht="30" customHeight="1">
      <c r="A884" s="45" t="s">
        <v>480</v>
      </c>
      <c r="B884" s="1307" t="s">
        <v>834</v>
      </c>
      <c r="C884" s="1307"/>
      <c r="D884" s="1307"/>
      <c r="E884" s="354">
        <f>+P893</f>
        <v>17.95</v>
      </c>
      <c r="F884" s="20" t="s">
        <v>8</v>
      </c>
      <c r="G884" s="350">
        <f>80.7*6</f>
        <v>484.20000000000005</v>
      </c>
      <c r="H884" s="252" t="s">
        <v>741</v>
      </c>
      <c r="I884" s="326">
        <f>+R893</f>
        <v>1.07</v>
      </c>
      <c r="J884" s="326">
        <f>+S893</f>
        <v>0.99065420560747663</v>
      </c>
      <c r="K884" s="213">
        <f t="shared" si="19"/>
        <v>9212.8734000000022</v>
      </c>
      <c r="L884" s="45" t="s">
        <v>10</v>
      </c>
      <c r="M884" s="1146"/>
      <c r="N884" s="282"/>
      <c r="O884" s="34"/>
      <c r="P884" s="283"/>
      <c r="Q884" s="282"/>
      <c r="R884" s="284"/>
    </row>
    <row r="885" spans="1:20" ht="30" customHeight="1" thickBot="1">
      <c r="A885" s="45" t="s">
        <v>600</v>
      </c>
      <c r="B885" s="1307" t="s">
        <v>635</v>
      </c>
      <c r="C885" s="1307"/>
      <c r="D885" s="1307"/>
      <c r="E885" s="354">
        <f>+P896</f>
        <v>800</v>
      </c>
      <c r="F885" s="317" t="s">
        <v>10</v>
      </c>
      <c r="G885" s="350">
        <v>13</v>
      </c>
      <c r="H885" s="252" t="s">
        <v>742</v>
      </c>
      <c r="I885" s="326">
        <f>+R896</f>
        <v>1.07</v>
      </c>
      <c r="J885" s="326">
        <f>+S896</f>
        <v>0.99065420560747663</v>
      </c>
      <c r="K885" s="213">
        <f t="shared" si="19"/>
        <v>11024</v>
      </c>
      <c r="L885" s="45" t="s">
        <v>10</v>
      </c>
      <c r="M885" s="1146"/>
      <c r="N885" s="1103"/>
      <c r="O885"/>
      <c r="P885" s="159"/>
      <c r="Q885" s="147"/>
      <c r="R885" s="149"/>
    </row>
    <row r="886" spans="1:20" ht="30" customHeight="1" thickBot="1">
      <c r="A886" s="45" t="s">
        <v>461</v>
      </c>
      <c r="B886" s="1307" t="s">
        <v>835</v>
      </c>
      <c r="C886" s="1307"/>
      <c r="D886" s="1307"/>
      <c r="E886" s="354">
        <f>+P903</f>
        <v>17.125</v>
      </c>
      <c r="F886" s="317" t="s">
        <v>6</v>
      </c>
      <c r="G886" s="350">
        <f>+((656*1)+(49*6))</f>
        <v>950</v>
      </c>
      <c r="H886" s="252" t="s">
        <v>745</v>
      </c>
      <c r="I886" s="326">
        <f>+R903</f>
        <v>1.07</v>
      </c>
      <c r="J886" s="326">
        <f>+S903</f>
        <v>0.99065420560747663</v>
      </c>
      <c r="K886" s="213">
        <f t="shared" si="19"/>
        <v>17244.875</v>
      </c>
      <c r="L886" s="45" t="s">
        <v>10</v>
      </c>
      <c r="M886" s="1146"/>
      <c r="N886" s="1142" t="s">
        <v>616</v>
      </c>
      <c r="O886" s="1143"/>
      <c r="P886" s="1143"/>
      <c r="Q886" s="1143"/>
      <c r="R886" s="1143"/>
      <c r="S886" s="1144"/>
      <c r="T886" s="149"/>
    </row>
    <row r="887" spans="1:20" ht="30" customHeight="1">
      <c r="A887" s="45" t="s">
        <v>461</v>
      </c>
      <c r="B887" s="1188" t="s">
        <v>759</v>
      </c>
      <c r="C887" s="1189"/>
      <c r="D887" s="1190"/>
      <c r="E887" s="354">
        <f>+P904</f>
        <v>2617.5</v>
      </c>
      <c r="F887" s="317" t="s">
        <v>10</v>
      </c>
      <c r="G887" s="350">
        <v>7</v>
      </c>
      <c r="H887" s="252" t="s">
        <v>742</v>
      </c>
      <c r="I887" s="326">
        <f>+R904</f>
        <v>1.07</v>
      </c>
      <c r="J887" s="326">
        <f>+S904</f>
        <v>0.99065420560747663</v>
      </c>
      <c r="K887" s="213">
        <f t="shared" si="19"/>
        <v>19421.850000000002</v>
      </c>
      <c r="L887" s="45" t="s">
        <v>10</v>
      </c>
      <c r="M887" s="1146"/>
      <c r="N887" s="970" t="s">
        <v>619</v>
      </c>
      <c r="O887" s="371" t="s">
        <v>620</v>
      </c>
      <c r="P887" s="372" t="s">
        <v>621</v>
      </c>
      <c r="Q887" s="373" t="s">
        <v>331</v>
      </c>
      <c r="R887" s="374" t="s">
        <v>305</v>
      </c>
      <c r="S887" s="375" t="s">
        <v>337</v>
      </c>
      <c r="T887" s="376"/>
    </row>
    <row r="888" spans="1:20" ht="30" customHeight="1">
      <c r="A888" s="45" t="s">
        <v>600</v>
      </c>
      <c r="B888" s="1188" t="s">
        <v>685</v>
      </c>
      <c r="C888" s="1189"/>
      <c r="D888" s="1190"/>
      <c r="E888" s="354">
        <f>+P899</f>
        <v>985</v>
      </c>
      <c r="F888" s="317" t="s">
        <v>10</v>
      </c>
      <c r="G888" s="350">
        <v>13</v>
      </c>
      <c r="H888" s="252" t="s">
        <v>742</v>
      </c>
      <c r="I888" s="326">
        <f t="shared" ref="I888:J890" si="20">+R899</f>
        <v>1.07</v>
      </c>
      <c r="J888" s="326">
        <f t="shared" si="20"/>
        <v>0.99065420560747663</v>
      </c>
      <c r="K888" s="213">
        <f t="shared" si="19"/>
        <v>13573.300000000001</v>
      </c>
      <c r="L888" s="45" t="s">
        <v>10</v>
      </c>
      <c r="M888" s="1146"/>
      <c r="N888" s="15" t="s">
        <v>333</v>
      </c>
      <c r="O888" s="377" t="s">
        <v>2610</v>
      </c>
      <c r="P888" s="378">
        <v>46.25</v>
      </c>
      <c r="Q888" s="6" t="s">
        <v>8</v>
      </c>
      <c r="R888" s="6">
        <v>1.05</v>
      </c>
      <c r="S888" s="379">
        <f>1.06/1.07</f>
        <v>0.99065420560747663</v>
      </c>
      <c r="T888" s="159"/>
    </row>
    <row r="889" spans="1:20" s="38" customFormat="1" ht="30" customHeight="1">
      <c r="A889" s="45" t="s">
        <v>604</v>
      </c>
      <c r="B889" s="1307" t="s">
        <v>760</v>
      </c>
      <c r="C889" s="1307"/>
      <c r="D889" s="1307"/>
      <c r="E889" s="354">
        <f>+P900</f>
        <v>137.85</v>
      </c>
      <c r="F889" s="317" t="s">
        <v>10</v>
      </c>
      <c r="G889" s="350">
        <f>(5*6)+(4*27)</f>
        <v>138</v>
      </c>
      <c r="H889" s="252" t="s">
        <v>742</v>
      </c>
      <c r="I889" s="326">
        <f t="shared" si="20"/>
        <v>1.07</v>
      </c>
      <c r="J889" s="326">
        <f t="shared" si="20"/>
        <v>0.99065420560747663</v>
      </c>
      <c r="K889" s="213">
        <f t="shared" si="19"/>
        <v>20164.698</v>
      </c>
      <c r="L889" s="45" t="s">
        <v>10</v>
      </c>
      <c r="M889" s="1146"/>
      <c r="N889" s="15" t="s">
        <v>624</v>
      </c>
      <c r="O889" s="377" t="s">
        <v>625</v>
      </c>
      <c r="P889" s="378">
        <v>18.05</v>
      </c>
      <c r="Q889" s="6" t="s">
        <v>8</v>
      </c>
      <c r="R889" s="385">
        <v>1.1000000000000001</v>
      </c>
      <c r="S889" s="379">
        <f t="shared" ref="S889:S907" si="21">1.06/1.07</f>
        <v>0.99065420560747663</v>
      </c>
      <c r="T889" s="159"/>
    </row>
    <row r="890" spans="1:20" ht="30" customHeight="1">
      <c r="A890" s="45" t="s">
        <v>606</v>
      </c>
      <c r="B890" s="1188" t="s">
        <v>761</v>
      </c>
      <c r="C890" s="1189"/>
      <c r="D890" s="1190"/>
      <c r="E890" s="354">
        <f>+P901</f>
        <v>17.110000000000003</v>
      </c>
      <c r="F890" s="262" t="s">
        <v>6</v>
      </c>
      <c r="G890" s="350">
        <f>3280*34</f>
        <v>111520</v>
      </c>
      <c r="H890" s="259" t="s">
        <v>745</v>
      </c>
      <c r="I890" s="326">
        <f t="shared" si="20"/>
        <v>1.07</v>
      </c>
      <c r="J890" s="326">
        <f t="shared" si="20"/>
        <v>0.99065420560747663</v>
      </c>
      <c r="K890" s="213">
        <f t="shared" si="19"/>
        <v>2022593.6320000007</v>
      </c>
      <c r="L890" s="45" t="s">
        <v>10</v>
      </c>
      <c r="M890" s="1146"/>
      <c r="N890" s="15" t="s">
        <v>342</v>
      </c>
      <c r="O890" s="377" t="s">
        <v>627</v>
      </c>
      <c r="P890" s="378">
        <f>+(1550+1900)/2+4*(234+457)/2</f>
        <v>3107</v>
      </c>
      <c r="Q890" s="6" t="s">
        <v>10</v>
      </c>
      <c r="R890" s="6">
        <v>1.05</v>
      </c>
      <c r="S890" s="379">
        <f t="shared" si="21"/>
        <v>0.99065420560747663</v>
      </c>
      <c r="T890" s="159"/>
    </row>
    <row r="891" spans="1:20" ht="30" customHeight="1">
      <c r="A891" s="45">
        <v>93410</v>
      </c>
      <c r="B891" s="1188" t="s">
        <v>836</v>
      </c>
      <c r="C891" s="1189"/>
      <c r="D891" s="1190"/>
      <c r="E891" s="241">
        <f>+P911</f>
        <v>1.1000000000000001</v>
      </c>
      <c r="F891" s="262" t="s">
        <v>3</v>
      </c>
      <c r="G891" s="350">
        <v>2392</v>
      </c>
      <c r="H891" s="259" t="s">
        <v>746</v>
      </c>
      <c r="I891" s="386">
        <f>+R911</f>
        <v>0.94232233454704462</v>
      </c>
      <c r="J891" s="20"/>
      <c r="K891" s="213">
        <f>+E891*G891*I891</f>
        <v>2479.4385266601839</v>
      </c>
      <c r="L891" s="45" t="s">
        <v>10</v>
      </c>
      <c r="M891" s="1146"/>
      <c r="N891" s="971" t="s">
        <v>538</v>
      </c>
      <c r="O891" s="377" t="s">
        <v>628</v>
      </c>
      <c r="P891" s="241">
        <f>+(4.56+6.81)/2+4*(0.41+0.6)/2+(0.48+2.41)/2</f>
        <v>9.15</v>
      </c>
      <c r="Q891" s="6" t="s">
        <v>8</v>
      </c>
      <c r="R891" s="6">
        <v>1.05</v>
      </c>
      <c r="S891" s="379">
        <f t="shared" si="21"/>
        <v>0.99065420560747663</v>
      </c>
      <c r="T891" s="159"/>
    </row>
    <row r="892" spans="1:20" ht="30" customHeight="1">
      <c r="A892" s="45">
        <v>93210</v>
      </c>
      <c r="B892" s="1188" t="s">
        <v>837</v>
      </c>
      <c r="C892" s="1189"/>
      <c r="D892" s="1190"/>
      <c r="E892" s="354">
        <f>+P912</f>
        <v>45.8</v>
      </c>
      <c r="F892" s="262" t="s">
        <v>285</v>
      </c>
      <c r="G892" s="350">
        <v>9225</v>
      </c>
      <c r="H892" s="259" t="s">
        <v>749</v>
      </c>
      <c r="I892" s="383">
        <f>+R912</f>
        <v>0.94232233454704462</v>
      </c>
      <c r="J892" s="20"/>
      <c r="K892" s="213">
        <f>+E892*G892*I892</f>
        <v>398135.89795779908</v>
      </c>
      <c r="L892" s="45" t="s">
        <v>10</v>
      </c>
      <c r="M892" s="1146"/>
      <c r="N892" s="971" t="s">
        <v>538</v>
      </c>
      <c r="O892" s="377" t="s">
        <v>629</v>
      </c>
      <c r="P892" s="241">
        <f>+(4.56+6.81)/2+8*(0.41+0.6)/2+(0.48+2.41)/2</f>
        <v>11.17</v>
      </c>
      <c r="Q892" s="6" t="s">
        <v>8</v>
      </c>
      <c r="R892" s="6">
        <v>1.05</v>
      </c>
      <c r="S892" s="379">
        <f t="shared" si="21"/>
        <v>0.99065420560747663</v>
      </c>
      <c r="T892" s="159"/>
    </row>
    <row r="893" spans="1:20" ht="30" customHeight="1">
      <c r="A893" s="45" t="s">
        <v>538</v>
      </c>
      <c r="B893" s="1188" t="s">
        <v>838</v>
      </c>
      <c r="C893" s="1189"/>
      <c r="D893" s="1190"/>
      <c r="E893" s="241">
        <f>+P891</f>
        <v>9.15</v>
      </c>
      <c r="F893" s="262" t="s">
        <v>8</v>
      </c>
      <c r="G893" s="350">
        <f>5*144</f>
        <v>720</v>
      </c>
      <c r="H893" s="259" t="s">
        <v>741</v>
      </c>
      <c r="I893" s="20">
        <f>+R891</f>
        <v>1.05</v>
      </c>
      <c r="J893" s="326">
        <f>+S891</f>
        <v>0.99065420560747663</v>
      </c>
      <c r="K893" s="213">
        <f>+E893*G893*I893*J893</f>
        <v>6852.7514018691591</v>
      </c>
      <c r="L893" s="45" t="s">
        <v>10</v>
      </c>
      <c r="M893" s="1146"/>
      <c r="N893" s="971" t="s">
        <v>480</v>
      </c>
      <c r="O893" s="377" t="s">
        <v>630</v>
      </c>
      <c r="P893" s="378">
        <v>17.95</v>
      </c>
      <c r="Q893" s="6" t="s">
        <v>8</v>
      </c>
      <c r="R893" s="6">
        <v>1.07</v>
      </c>
      <c r="S893" s="379">
        <f t="shared" si="21"/>
        <v>0.99065420560747663</v>
      </c>
      <c r="T893" s="384"/>
    </row>
    <row r="894" spans="1:20" ht="30" customHeight="1">
      <c r="A894" s="45"/>
      <c r="B894" s="1307"/>
      <c r="C894" s="1307"/>
      <c r="D894" s="1307"/>
      <c r="E894" s="213"/>
      <c r="F894" s="45"/>
      <c r="G894" s="382"/>
      <c r="H894" s="264"/>
      <c r="I894" s="20"/>
      <c r="J894" s="20" t="s">
        <v>379</v>
      </c>
      <c r="K894" s="213">
        <f>SUM(K879:K893)</f>
        <v>2622093.8181181047</v>
      </c>
      <c r="L894" s="45" t="s">
        <v>10</v>
      </c>
      <c r="M894" s="1146"/>
      <c r="N894" s="971" t="s">
        <v>480</v>
      </c>
      <c r="O894" s="377" t="s">
        <v>633</v>
      </c>
      <c r="P894" s="378">
        <f>+(4.31+5.06)/2</f>
        <v>4.6849999999999996</v>
      </c>
      <c r="Q894" s="6" t="s">
        <v>8</v>
      </c>
      <c r="R894" s="6">
        <v>1.07</v>
      </c>
      <c r="S894" s="379">
        <f t="shared" si="21"/>
        <v>0.99065420560747663</v>
      </c>
      <c r="T894" s="384"/>
    </row>
    <row r="895" spans="1:20" ht="30" customHeight="1" thickBot="1">
      <c r="A895" s="45"/>
      <c r="B895" s="45"/>
      <c r="C895" s="46"/>
      <c r="D895" s="46"/>
      <c r="E895" s="46"/>
      <c r="F895" s="46"/>
      <c r="G895" s="176" t="s">
        <v>312</v>
      </c>
      <c r="H895" s="46"/>
      <c r="I895" s="18"/>
      <c r="J895" s="139">
        <f>VLOOKUP(B876,'Mil Cost Premiums for RUCs'!$A$4:$R$266,18,FALSE)</f>
        <v>1.0485669999999998</v>
      </c>
      <c r="K895" s="21">
        <f>+K894*J895</f>
        <v>2749441.0485826461</v>
      </c>
      <c r="L895" s="45" t="s">
        <v>10</v>
      </c>
      <c r="M895" s="1146"/>
      <c r="N895" s="971" t="s">
        <v>600</v>
      </c>
      <c r="O895" s="11" t="s">
        <v>601</v>
      </c>
      <c r="P895" s="378">
        <f>+(339+540)/2</f>
        <v>439.5</v>
      </c>
      <c r="Q895" s="6" t="s">
        <v>10</v>
      </c>
      <c r="R895" s="385">
        <v>1.07</v>
      </c>
      <c r="S895" s="379">
        <f t="shared" si="21"/>
        <v>0.99065420560747663</v>
      </c>
      <c r="T895" s="384"/>
    </row>
    <row r="896" spans="1:20" ht="30" customHeight="1" thickBot="1">
      <c r="A896" s="1165"/>
      <c r="B896" s="1166"/>
      <c r="C896" s="1166"/>
      <c r="D896" s="1166"/>
      <c r="E896" s="1166"/>
      <c r="F896" s="1166"/>
      <c r="G896" s="1166"/>
      <c r="H896" s="1166"/>
      <c r="I896" s="1166"/>
      <c r="J896" s="1166"/>
      <c r="K896" s="1166"/>
      <c r="L896" s="1167"/>
      <c r="M896" s="1146"/>
      <c r="N896" s="971" t="s">
        <v>600</v>
      </c>
      <c r="O896" s="11" t="s">
        <v>635</v>
      </c>
      <c r="P896" s="378">
        <f>+(655+945)/2</f>
        <v>800</v>
      </c>
      <c r="Q896" s="6" t="s">
        <v>10</v>
      </c>
      <c r="R896" s="385">
        <v>1.07</v>
      </c>
      <c r="S896" s="379">
        <f t="shared" si="21"/>
        <v>0.99065420560747663</v>
      </c>
      <c r="T896" s="384"/>
    </row>
    <row r="897" spans="1:24" ht="75" customHeight="1">
      <c r="A897" s="27" t="s">
        <v>280</v>
      </c>
      <c r="B897" s="28">
        <v>1776</v>
      </c>
      <c r="C897" s="1426" t="s">
        <v>839</v>
      </c>
      <c r="D897" s="1427"/>
      <c r="E897" s="30" t="s">
        <v>282</v>
      </c>
      <c r="F897" s="31" t="s">
        <v>10</v>
      </c>
      <c r="G897" s="70" t="s">
        <v>840</v>
      </c>
      <c r="H897" s="186">
        <v>1</v>
      </c>
      <c r="I897" s="30" t="s">
        <v>283</v>
      </c>
      <c r="J897" s="1199" t="s">
        <v>2611</v>
      </c>
      <c r="K897" s="1199"/>
      <c r="L897" s="1200"/>
      <c r="M897" s="1146"/>
      <c r="N897" s="971" t="s">
        <v>600</v>
      </c>
      <c r="O897" s="11" t="s">
        <v>603</v>
      </c>
      <c r="P897" s="378">
        <f>+(220+412)/2</f>
        <v>316</v>
      </c>
      <c r="Q897" s="6" t="s">
        <v>10</v>
      </c>
      <c r="R897" s="385">
        <v>1.07</v>
      </c>
      <c r="S897" s="379">
        <f t="shared" si="21"/>
        <v>0.99065420560747663</v>
      </c>
      <c r="T897" s="384"/>
    </row>
    <row r="898" spans="1:24" ht="30" customHeight="1">
      <c r="A898" s="35" t="s">
        <v>597</v>
      </c>
      <c r="B898" s="1300" t="s">
        <v>330</v>
      </c>
      <c r="C898" s="1301"/>
      <c r="D898" s="1302"/>
      <c r="E898" s="362" t="s">
        <v>295</v>
      </c>
      <c r="F898" s="362" t="s">
        <v>331</v>
      </c>
      <c r="G898" s="1356" t="s">
        <v>332</v>
      </c>
      <c r="H898" s="1357"/>
      <c r="I898" s="77" t="s">
        <v>305</v>
      </c>
      <c r="J898" s="77" t="s">
        <v>308</v>
      </c>
      <c r="K898" s="1312" t="s">
        <v>297</v>
      </c>
      <c r="L898" s="1313"/>
      <c r="M898" s="1146"/>
      <c r="N898" s="971"/>
      <c r="O898" s="11"/>
      <c r="P898" s="378"/>
      <c r="Q898" s="6"/>
      <c r="R898" s="385"/>
      <c r="S898" s="379"/>
      <c r="T898" s="384"/>
    </row>
    <row r="899" spans="1:24" ht="30" customHeight="1">
      <c r="A899" s="45" t="s">
        <v>538</v>
      </c>
      <c r="B899" s="1188" t="s">
        <v>841</v>
      </c>
      <c r="C899" s="1189"/>
      <c r="D899" s="1190"/>
      <c r="E899" s="354">
        <f>+P891</f>
        <v>9.15</v>
      </c>
      <c r="F899" s="45" t="s">
        <v>8</v>
      </c>
      <c r="G899" s="350">
        <f>26*62</f>
        <v>1612</v>
      </c>
      <c r="H899" s="259" t="s">
        <v>741</v>
      </c>
      <c r="I899" s="326">
        <f>+R891</f>
        <v>1.05</v>
      </c>
      <c r="J899" s="326">
        <f>+S891</f>
        <v>0.99065420560747663</v>
      </c>
      <c r="K899" s="213">
        <f>+E899*G899*I899*J899</f>
        <v>15342.54897196262</v>
      </c>
      <c r="L899" s="45" t="s">
        <v>10</v>
      </c>
      <c r="M899" s="1146"/>
      <c r="N899" s="971" t="s">
        <v>600</v>
      </c>
      <c r="O899" s="11" t="s">
        <v>636</v>
      </c>
      <c r="P899" s="378">
        <f>+(760+1210)/2</f>
        <v>985</v>
      </c>
      <c r="Q899" s="6" t="s">
        <v>10</v>
      </c>
      <c r="R899" s="385">
        <v>1.07</v>
      </c>
      <c r="S899" s="379">
        <f t="shared" si="21"/>
        <v>0.99065420560747663</v>
      </c>
      <c r="T899" s="384"/>
    </row>
    <row r="900" spans="1:24" ht="30" customHeight="1">
      <c r="A900" s="45" t="s">
        <v>600</v>
      </c>
      <c r="B900" s="1188" t="s">
        <v>601</v>
      </c>
      <c r="C900" s="1189"/>
      <c r="D900" s="1190"/>
      <c r="E900" s="354">
        <f>+P895</f>
        <v>439.5</v>
      </c>
      <c r="F900" s="262" t="s">
        <v>10</v>
      </c>
      <c r="G900" s="350">
        <v>26</v>
      </c>
      <c r="H900" s="259" t="s">
        <v>742</v>
      </c>
      <c r="I900" s="326">
        <f>+R895</f>
        <v>1.07</v>
      </c>
      <c r="J900" s="326">
        <f>+S895</f>
        <v>0.99065420560747663</v>
      </c>
      <c r="K900" s="213">
        <f>+E900*G900*I900*J900</f>
        <v>12112.62</v>
      </c>
      <c r="L900" s="45" t="s">
        <v>10</v>
      </c>
      <c r="M900" s="1146"/>
      <c r="N900" s="971" t="s">
        <v>604</v>
      </c>
      <c r="O900" s="377" t="s">
        <v>605</v>
      </c>
      <c r="P900" s="378">
        <f>126+((7.9+15.8))/2</f>
        <v>137.85</v>
      </c>
      <c r="Q900" s="6" t="s">
        <v>10</v>
      </c>
      <c r="R900" s="385">
        <v>1.07</v>
      </c>
      <c r="S900" s="379">
        <f t="shared" si="21"/>
        <v>0.99065420560747663</v>
      </c>
      <c r="T900" s="384"/>
    </row>
    <row r="901" spans="1:24" ht="30" customHeight="1">
      <c r="A901" s="45" t="s">
        <v>600</v>
      </c>
      <c r="B901" s="1188" t="s">
        <v>603</v>
      </c>
      <c r="C901" s="1189"/>
      <c r="D901" s="1190"/>
      <c r="E901" s="354">
        <f>+P897</f>
        <v>316</v>
      </c>
      <c r="F901" s="262" t="s">
        <v>10</v>
      </c>
      <c r="G901" s="350">
        <v>26</v>
      </c>
      <c r="H901" s="259" t="s">
        <v>742</v>
      </c>
      <c r="I901" s="326">
        <f>+R897</f>
        <v>1.07</v>
      </c>
      <c r="J901" s="326">
        <f>+S897</f>
        <v>0.99065420560747663</v>
      </c>
      <c r="K901" s="213">
        <f>+E901*G901*I901*J901</f>
        <v>8708.9600000000009</v>
      </c>
      <c r="L901" s="45" t="s">
        <v>10</v>
      </c>
      <c r="M901" s="1146"/>
      <c r="N901" s="971" t="s">
        <v>606</v>
      </c>
      <c r="O901" s="377" t="s">
        <v>622</v>
      </c>
      <c r="P901" s="378">
        <f>16.35+0.76</f>
        <v>17.110000000000003</v>
      </c>
      <c r="Q901" s="6" t="s">
        <v>6</v>
      </c>
      <c r="R901" s="385">
        <v>1.07</v>
      </c>
      <c r="S901" s="379">
        <f t="shared" si="21"/>
        <v>0.99065420560747663</v>
      </c>
      <c r="T901" s="384"/>
    </row>
    <row r="902" spans="1:24" ht="30" customHeight="1">
      <c r="A902" s="45" t="s">
        <v>604</v>
      </c>
      <c r="B902" s="1307" t="s">
        <v>760</v>
      </c>
      <c r="C902" s="1307"/>
      <c r="D902" s="1307"/>
      <c r="E902" s="354">
        <f>+P900</f>
        <v>137.85</v>
      </c>
      <c r="F902" s="262" t="s">
        <v>10</v>
      </c>
      <c r="G902" s="350">
        <v>104</v>
      </c>
      <c r="H902" s="259" t="s">
        <v>742</v>
      </c>
      <c r="I902" s="326">
        <f>+R900</f>
        <v>1.07</v>
      </c>
      <c r="J902" s="326">
        <f>+S900</f>
        <v>0.99065420560747663</v>
      </c>
      <c r="K902" s="213">
        <f>+E902*G902*I902*J902</f>
        <v>15196.584000000001</v>
      </c>
      <c r="L902" s="45" t="s">
        <v>10</v>
      </c>
      <c r="M902" s="1146"/>
      <c r="N902" s="971" t="s">
        <v>606</v>
      </c>
      <c r="O902" s="377" t="s">
        <v>638</v>
      </c>
      <c r="P902" s="378">
        <v>14.6</v>
      </c>
      <c r="Q902" s="6" t="s">
        <v>6</v>
      </c>
      <c r="R902" s="385">
        <v>1.07</v>
      </c>
      <c r="S902" s="379">
        <f t="shared" si="21"/>
        <v>0.99065420560747663</v>
      </c>
      <c r="T902" s="384"/>
    </row>
    <row r="903" spans="1:24" s="38" customFormat="1" ht="30" customHeight="1">
      <c r="A903" s="45" t="s">
        <v>606</v>
      </c>
      <c r="B903" s="1188" t="s">
        <v>842</v>
      </c>
      <c r="C903" s="1189"/>
      <c r="D903" s="1190"/>
      <c r="E903" s="354">
        <f>+P901</f>
        <v>17.110000000000003</v>
      </c>
      <c r="F903" s="262" t="s">
        <v>6</v>
      </c>
      <c r="G903" s="350">
        <v>8105</v>
      </c>
      <c r="H903" s="259" t="s">
        <v>745</v>
      </c>
      <c r="I903" s="326">
        <f>+R901</f>
        <v>1.07</v>
      </c>
      <c r="J903" s="326">
        <f>+S901</f>
        <v>0.99065420560747663</v>
      </c>
      <c r="K903" s="213">
        <f>+E903*G903*I903*J903</f>
        <v>146997.14300000001</v>
      </c>
      <c r="L903" s="45" t="s">
        <v>10</v>
      </c>
      <c r="M903" s="1146"/>
      <c r="N903" s="971" t="s">
        <v>461</v>
      </c>
      <c r="O903" s="387" t="s">
        <v>640</v>
      </c>
      <c r="P903" s="378">
        <f>(15.9+18.35)/2</f>
        <v>17.125</v>
      </c>
      <c r="Q903" s="6" t="s">
        <v>6</v>
      </c>
      <c r="R903" s="6">
        <v>1.07</v>
      </c>
      <c r="S903" s="379">
        <f t="shared" si="21"/>
        <v>0.99065420560747663</v>
      </c>
      <c r="T903" s="384"/>
    </row>
    <row r="904" spans="1:24" ht="30" customHeight="1">
      <c r="A904" s="45">
        <v>85110</v>
      </c>
      <c r="B904" s="1188" t="s">
        <v>843</v>
      </c>
      <c r="C904" s="1189"/>
      <c r="D904" s="1190"/>
      <c r="E904" s="354">
        <f>+P909</f>
        <v>58</v>
      </c>
      <c r="F904" s="45" t="s">
        <v>3</v>
      </c>
      <c r="G904" s="350">
        <v>897</v>
      </c>
      <c r="H904" s="259" t="s">
        <v>746</v>
      </c>
      <c r="I904" s="383">
        <f>+R909</f>
        <v>0.94232233454704462</v>
      </c>
      <c r="J904" s="20"/>
      <c r="K904" s="213">
        <f>+E904*G904*I904</f>
        <v>49025.261777144544</v>
      </c>
      <c r="L904" s="45" t="s">
        <v>10</v>
      </c>
      <c r="M904" s="1146"/>
      <c r="N904" s="971" t="s">
        <v>461</v>
      </c>
      <c r="O904" s="11" t="s">
        <v>641</v>
      </c>
      <c r="P904" s="378">
        <f>+(1610+3625)/2</f>
        <v>2617.5</v>
      </c>
      <c r="Q904" s="6" t="s">
        <v>10</v>
      </c>
      <c r="R904" s="6">
        <v>1.07</v>
      </c>
      <c r="S904" s="379">
        <f t="shared" si="21"/>
        <v>0.99065420560747663</v>
      </c>
      <c r="T904" s="384"/>
    </row>
    <row r="905" spans="1:24" ht="30" customHeight="1">
      <c r="A905" s="45">
        <v>85110</v>
      </c>
      <c r="B905" s="1188" t="s">
        <v>844</v>
      </c>
      <c r="C905" s="1189"/>
      <c r="D905" s="1190"/>
      <c r="E905" s="354">
        <f>+P908</f>
        <v>18.5</v>
      </c>
      <c r="F905" s="262" t="s">
        <v>3</v>
      </c>
      <c r="G905" s="350">
        <v>1435</v>
      </c>
      <c r="H905" s="259" t="s">
        <v>746</v>
      </c>
      <c r="I905" s="383">
        <f>+R908</f>
        <v>0.94232233454704462</v>
      </c>
      <c r="J905" s="20"/>
      <c r="K905" s="213">
        <f>+E905*G905*I905</f>
        <v>25016.302176387668</v>
      </c>
      <c r="L905" s="45" t="s">
        <v>10</v>
      </c>
      <c r="M905" s="1146"/>
      <c r="N905" s="971" t="s">
        <v>342</v>
      </c>
      <c r="O905" s="377" t="s">
        <v>615</v>
      </c>
      <c r="P905" s="378">
        <f>(63.5+(2.54*18))*4</f>
        <v>436.88</v>
      </c>
      <c r="Q905" s="6" t="s">
        <v>10</v>
      </c>
      <c r="R905" s="6">
        <v>1.05</v>
      </c>
      <c r="S905" s="379">
        <f t="shared" si="21"/>
        <v>0.99065420560747663</v>
      </c>
      <c r="T905" s="384"/>
    </row>
    <row r="906" spans="1:24" ht="30" customHeight="1">
      <c r="A906" s="45" t="s">
        <v>333</v>
      </c>
      <c r="B906" s="1188" t="s">
        <v>845</v>
      </c>
      <c r="C906" s="1189"/>
      <c r="D906" s="1190"/>
      <c r="E906" s="354">
        <f>+P888</f>
        <v>46.25</v>
      </c>
      <c r="F906" s="262" t="s">
        <v>8</v>
      </c>
      <c r="G906" s="350">
        <f>12*600</f>
        <v>7200</v>
      </c>
      <c r="H906" s="259" t="s">
        <v>741</v>
      </c>
      <c r="I906" s="326">
        <f>+R888</f>
        <v>1.05</v>
      </c>
      <c r="J906" s="326">
        <f>+S888</f>
        <v>0.99065420560747663</v>
      </c>
      <c r="K906" s="213">
        <f>+E906*G906*I906*J906</f>
        <v>346382.24299065419</v>
      </c>
      <c r="L906" s="45" t="s">
        <v>10</v>
      </c>
      <c r="M906" s="1146"/>
      <c r="N906" s="971" t="s">
        <v>480</v>
      </c>
      <c r="O906" s="388" t="s">
        <v>617</v>
      </c>
      <c r="P906" s="378">
        <v>19.05</v>
      </c>
      <c r="Q906" s="6" t="s">
        <v>10</v>
      </c>
      <c r="R906" s="385">
        <v>1.07</v>
      </c>
      <c r="S906" s="379">
        <f t="shared" si="21"/>
        <v>0.99065420560747663</v>
      </c>
      <c r="T906" s="384"/>
    </row>
    <row r="907" spans="1:24" ht="30" customHeight="1">
      <c r="A907" s="45">
        <v>93410</v>
      </c>
      <c r="B907" s="1188" t="s">
        <v>846</v>
      </c>
      <c r="C907" s="1189"/>
      <c r="D907" s="1190"/>
      <c r="E907" s="354">
        <f>+P910</f>
        <v>8.1999999999999993</v>
      </c>
      <c r="F907" s="262" t="s">
        <v>285</v>
      </c>
      <c r="G907" s="350">
        <v>3923</v>
      </c>
      <c r="H907" s="259" t="s">
        <v>749</v>
      </c>
      <c r="I907" s="383">
        <f>+R910</f>
        <v>0.94232233454704462</v>
      </c>
      <c r="J907" s="20"/>
      <c r="K907" s="213">
        <f>+E907*G907*I907</f>
        <v>30313.19025111006</v>
      </c>
      <c r="L907" s="45" t="s">
        <v>10</v>
      </c>
      <c r="M907" s="1146"/>
      <c r="N907" s="971" t="s">
        <v>482</v>
      </c>
      <c r="O907" s="377" t="s">
        <v>644</v>
      </c>
      <c r="P907" s="378">
        <v>27</v>
      </c>
      <c r="Q907" s="6" t="s">
        <v>8</v>
      </c>
      <c r="R907" s="385">
        <v>1.07</v>
      </c>
      <c r="S907" s="379">
        <f t="shared" si="21"/>
        <v>0.99065420560747663</v>
      </c>
      <c r="T907" s="384"/>
    </row>
    <row r="908" spans="1:24" ht="30" customHeight="1">
      <c r="A908" s="45" t="s">
        <v>538</v>
      </c>
      <c r="B908" s="1188" t="s">
        <v>847</v>
      </c>
      <c r="C908" s="1189"/>
      <c r="D908" s="1190"/>
      <c r="E908" s="241">
        <f>+P891</f>
        <v>9.15</v>
      </c>
      <c r="F908" s="262" t="s">
        <v>8</v>
      </c>
      <c r="G908" s="350">
        <f>4*144</f>
        <v>576</v>
      </c>
      <c r="H908" s="259" t="s">
        <v>741</v>
      </c>
      <c r="I908" s="20">
        <f>+R891</f>
        <v>1.05</v>
      </c>
      <c r="J908" s="326">
        <f>+S891</f>
        <v>0.99065420560747663</v>
      </c>
      <c r="K908" s="213">
        <f>+E908*G908*I908*J908</f>
        <v>5482.2011214953282</v>
      </c>
      <c r="L908" s="45" t="s">
        <v>10</v>
      </c>
      <c r="M908" s="1146"/>
      <c r="N908" s="971">
        <v>85110</v>
      </c>
      <c r="O908" s="377" t="s">
        <v>645</v>
      </c>
      <c r="P908" s="378">
        <v>18.5</v>
      </c>
      <c r="Q908" s="6" t="s">
        <v>3</v>
      </c>
      <c r="R908" s="1034">
        <f>+'2019 MILCON Inflation Table'!$F$18</f>
        <v>0.94232233454704462</v>
      </c>
      <c r="S908" s="379"/>
      <c r="T908" s="1035"/>
    </row>
    <row r="909" spans="1:24" ht="30" customHeight="1">
      <c r="A909" s="45">
        <v>93210</v>
      </c>
      <c r="B909" s="1188" t="s">
        <v>848</v>
      </c>
      <c r="C909" s="1189"/>
      <c r="D909" s="1190"/>
      <c r="E909" s="354">
        <f>+P912</f>
        <v>45.8</v>
      </c>
      <c r="F909" s="262" t="s">
        <v>285</v>
      </c>
      <c r="G909" s="350">
        <v>4622</v>
      </c>
      <c r="H909" s="259" t="s">
        <v>749</v>
      </c>
      <c r="I909" s="383">
        <f>+R912</f>
        <v>0.94232233454704462</v>
      </c>
      <c r="J909" s="20"/>
      <c r="K909" s="213">
        <f>+E909*G909*I909</f>
        <v>199477.95342666094</v>
      </c>
      <c r="L909" s="45" t="s">
        <v>10</v>
      </c>
      <c r="M909" s="1146"/>
      <c r="N909" s="971">
        <v>85110</v>
      </c>
      <c r="O909" s="377" t="s">
        <v>647</v>
      </c>
      <c r="P909" s="378">
        <v>58</v>
      </c>
      <c r="Q909" s="6" t="s">
        <v>3</v>
      </c>
      <c r="R909" s="1034">
        <f>+'2019 MILCON Inflation Table'!$F$18</f>
        <v>0.94232233454704462</v>
      </c>
      <c r="S909" s="379"/>
      <c r="T909" s="384"/>
    </row>
    <row r="910" spans="1:24" ht="30" customHeight="1">
      <c r="A910" s="45" t="s">
        <v>624</v>
      </c>
      <c r="B910" s="1188" t="s">
        <v>849</v>
      </c>
      <c r="C910" s="1189"/>
      <c r="D910" s="1190"/>
      <c r="E910" s="241">
        <f>+P889</f>
        <v>18.05</v>
      </c>
      <c r="F910" s="262" t="s">
        <v>8</v>
      </c>
      <c r="G910" s="350">
        <v>1200</v>
      </c>
      <c r="H910" s="259" t="s">
        <v>741</v>
      </c>
      <c r="I910" s="326">
        <f>+R889</f>
        <v>1.1000000000000001</v>
      </c>
      <c r="J910" s="326">
        <f>+S889</f>
        <v>0.99065420560747663</v>
      </c>
      <c r="K910" s="213">
        <f>+E910*G910*I910*J910</f>
        <v>23603.327102803742</v>
      </c>
      <c r="L910" s="45" t="s">
        <v>10</v>
      </c>
      <c r="M910" s="1146"/>
      <c r="N910" s="971">
        <v>93410</v>
      </c>
      <c r="O910" s="377" t="s">
        <v>648</v>
      </c>
      <c r="P910" s="378">
        <v>8.1999999999999993</v>
      </c>
      <c r="Q910" s="6" t="s">
        <v>285</v>
      </c>
      <c r="R910" s="1034">
        <f>+'2019 MILCON Inflation Table'!$F$18</f>
        <v>0.94232233454704462</v>
      </c>
      <c r="S910" s="878"/>
      <c r="T910" s="384"/>
    </row>
    <row r="911" spans="1:24" ht="30" customHeight="1">
      <c r="A911" s="45"/>
      <c r="B911" s="1307"/>
      <c r="C911" s="1307"/>
      <c r="D911" s="1307"/>
      <c r="E911" s="213"/>
      <c r="F911" s="45"/>
      <c r="G911" s="382"/>
      <c r="H911" s="264"/>
      <c r="I911" s="20"/>
      <c r="J911" s="20" t="s">
        <v>379</v>
      </c>
      <c r="K911" s="213">
        <f>SUM(K899:K910)</f>
        <v>877658.33481821907</v>
      </c>
      <c r="L911" s="45" t="s">
        <v>10</v>
      </c>
      <c r="M911" s="1146"/>
      <c r="N911" s="971">
        <v>93410</v>
      </c>
      <c r="O911" s="377" t="s">
        <v>2886</v>
      </c>
      <c r="P911" s="378">
        <v>1.1000000000000001</v>
      </c>
      <c r="Q911" s="6" t="s">
        <v>3</v>
      </c>
      <c r="R911" s="1034">
        <f>+'2019 MILCON Inflation Table'!$F$18</f>
        <v>0.94232233454704462</v>
      </c>
      <c r="S911" s="878"/>
      <c r="T911" s="384"/>
    </row>
    <row r="912" spans="1:24" ht="30" customHeight="1" thickBot="1">
      <c r="A912" s="45"/>
      <c r="B912" s="45"/>
      <c r="C912" s="46"/>
      <c r="D912" s="46"/>
      <c r="E912" s="46"/>
      <c r="F912" s="46"/>
      <c r="G912" s="176" t="s">
        <v>312</v>
      </c>
      <c r="H912" s="46"/>
      <c r="I912" s="18"/>
      <c r="J912" s="139">
        <f>VLOOKUP(B897,'Mil Cost Premiums for RUCs'!$A$4:$R$266,18,FALSE)</f>
        <v>1.0821211439999998</v>
      </c>
      <c r="K912" s="21">
        <f>+K911*J912</f>
        <v>949732.64131462609</v>
      </c>
      <c r="L912" s="45" t="s">
        <v>10</v>
      </c>
      <c r="M912" s="1146"/>
      <c r="N912" s="971">
        <v>93210</v>
      </c>
      <c r="O912" s="11" t="s">
        <v>649</v>
      </c>
      <c r="P912" s="378">
        <v>45.8</v>
      </c>
      <c r="Q912" s="6" t="s">
        <v>285</v>
      </c>
      <c r="R912" s="1034">
        <f>+'2019 MILCON Inflation Table'!$F$18</f>
        <v>0.94232233454704462</v>
      </c>
      <c r="S912" s="878"/>
      <c r="T912" s="159"/>
      <c r="U912" s="38"/>
      <c r="V912" s="38"/>
      <c r="W912" s="38"/>
      <c r="X912" s="38"/>
    </row>
    <row r="913" spans="1:24" s="38" customFormat="1" ht="30" customHeight="1" thickBot="1">
      <c r="A913" s="1165"/>
      <c r="B913" s="1166"/>
      <c r="C913" s="1166"/>
      <c r="D913" s="1166"/>
      <c r="E913" s="1166"/>
      <c r="F913" s="1166"/>
      <c r="G913" s="1166"/>
      <c r="H913" s="1166"/>
      <c r="I913" s="1166"/>
      <c r="J913" s="1166"/>
      <c r="K913" s="1166"/>
      <c r="L913" s="1167"/>
      <c r="M913" s="1146"/>
      <c r="N913" s="1036">
        <v>85110</v>
      </c>
      <c r="O913" s="1037" t="s">
        <v>651</v>
      </c>
      <c r="P913" s="1038">
        <v>69</v>
      </c>
      <c r="Q913" s="1039" t="s">
        <v>3</v>
      </c>
      <c r="R913" s="1040">
        <f>+'2019 MILCON Inflation Table'!$F$18</f>
        <v>0.94232233454704462</v>
      </c>
      <c r="S913" s="1041"/>
      <c r="T913" s="159"/>
      <c r="U913"/>
      <c r="V913"/>
      <c r="W913"/>
      <c r="X913"/>
    </row>
    <row r="914" spans="1:24" ht="75" customHeight="1">
      <c r="A914" s="1024" t="s">
        <v>280</v>
      </c>
      <c r="B914" s="1025">
        <v>1777</v>
      </c>
      <c r="C914" s="1197" t="s">
        <v>850</v>
      </c>
      <c r="D914" s="1198"/>
      <c r="E914" s="74" t="s">
        <v>282</v>
      </c>
      <c r="F914" s="75" t="s">
        <v>37</v>
      </c>
      <c r="G914" s="181" t="s">
        <v>851</v>
      </c>
      <c r="H914" s="145">
        <v>1</v>
      </c>
      <c r="I914" s="74" t="s">
        <v>283</v>
      </c>
      <c r="J914" s="1199" t="s">
        <v>2611</v>
      </c>
      <c r="K914" s="1199"/>
      <c r="L914" s="1200"/>
      <c r="M914" s="1146"/>
      <c r="N914" s="1103"/>
      <c r="O914"/>
      <c r="P914" s="159"/>
      <c r="Q914" s="147"/>
      <c r="R914" s="147"/>
      <c r="S914" s="147"/>
      <c r="T914" s="149"/>
    </row>
    <row r="915" spans="1:24" ht="30" customHeight="1">
      <c r="A915" s="1023" t="s">
        <v>597</v>
      </c>
      <c r="B915" s="1201" t="s">
        <v>330</v>
      </c>
      <c r="C915" s="1202"/>
      <c r="D915" s="1203"/>
      <c r="E915" s="150" t="s">
        <v>295</v>
      </c>
      <c r="F915" s="150" t="s">
        <v>331</v>
      </c>
      <c r="G915" s="1204" t="s">
        <v>332</v>
      </c>
      <c r="H915" s="1205"/>
      <c r="I915" s="1023" t="s">
        <v>305</v>
      </c>
      <c r="J915" s="151" t="s">
        <v>308</v>
      </c>
      <c r="K915" s="1206" t="s">
        <v>297</v>
      </c>
      <c r="L915" s="1207"/>
      <c r="M915" s="1146"/>
      <c r="N915" s="1103"/>
      <c r="O915"/>
      <c r="P915" s="159"/>
      <c r="Q915" s="147"/>
      <c r="R915" s="147"/>
      <c r="S915" s="147"/>
      <c r="T915" s="149"/>
    </row>
    <row r="916" spans="1:24" ht="30" customHeight="1">
      <c r="A916" s="35"/>
      <c r="B916" s="1383" t="s">
        <v>852</v>
      </c>
      <c r="C916" s="1384"/>
      <c r="D916" s="1385"/>
      <c r="E916" s="150"/>
      <c r="F916" s="150"/>
      <c r="G916" s="347"/>
      <c r="H916" s="348"/>
      <c r="I916" s="244"/>
      <c r="J916" s="244"/>
      <c r="K916" s="150"/>
      <c r="L916" s="150"/>
      <c r="M916" s="1146"/>
      <c r="N916" s="1103"/>
      <c r="O916"/>
      <c r="P916" s="159"/>
      <c r="Q916" s="147"/>
      <c r="T916" s="149"/>
    </row>
    <row r="917" spans="1:24" ht="30" customHeight="1">
      <c r="A917" s="45" t="s">
        <v>538</v>
      </c>
      <c r="B917" s="1188" t="s">
        <v>853</v>
      </c>
      <c r="C917" s="1189"/>
      <c r="D917" s="1190"/>
      <c r="E917" s="354">
        <f>+P891</f>
        <v>9.15</v>
      </c>
      <c r="F917" s="20" t="s">
        <v>8</v>
      </c>
      <c r="G917" s="350">
        <f>9*62</f>
        <v>558</v>
      </c>
      <c r="H917" s="252" t="s">
        <v>599</v>
      </c>
      <c r="I917" s="326">
        <f>+R891</f>
        <v>1.05</v>
      </c>
      <c r="J917" s="326">
        <f>+S891</f>
        <v>0.99065420560747663</v>
      </c>
      <c r="K917" s="153">
        <f t="shared" ref="K917:K928" si="22">+E917*G917*I917*J917</f>
        <v>5310.8823364485979</v>
      </c>
      <c r="L917" s="20" t="s">
        <v>37</v>
      </c>
      <c r="M917" s="1146"/>
      <c r="N917" s="1103"/>
      <c r="O917"/>
      <c r="P917" s="159"/>
      <c r="Q917" s="147"/>
      <c r="T917" s="149"/>
    </row>
    <row r="918" spans="1:24" ht="30" customHeight="1">
      <c r="A918" s="45" t="s">
        <v>600</v>
      </c>
      <c r="B918" s="1188" t="s">
        <v>601</v>
      </c>
      <c r="C918" s="1189"/>
      <c r="D918" s="1190"/>
      <c r="E918" s="354">
        <f>+P895</f>
        <v>439.5</v>
      </c>
      <c r="F918" s="317" t="s">
        <v>10</v>
      </c>
      <c r="G918" s="350">
        <v>9</v>
      </c>
      <c r="H918" s="252" t="s">
        <v>602</v>
      </c>
      <c r="I918" s="326">
        <f>+R895</f>
        <v>1.07</v>
      </c>
      <c r="J918" s="326">
        <f>+S895</f>
        <v>0.99065420560747663</v>
      </c>
      <c r="K918" s="153">
        <f t="shared" si="22"/>
        <v>4192.83</v>
      </c>
      <c r="L918" s="20" t="s">
        <v>37</v>
      </c>
      <c r="M918" s="1146"/>
      <c r="N918" s="1103"/>
      <c r="O918"/>
      <c r="P918" s="159"/>
      <c r="Q918" s="147"/>
      <c r="T918" s="149"/>
    </row>
    <row r="919" spans="1:24" ht="30" customHeight="1">
      <c r="A919" s="45" t="s">
        <v>600</v>
      </c>
      <c r="B919" s="1307" t="s">
        <v>603</v>
      </c>
      <c r="C919" s="1307"/>
      <c r="D919" s="1307"/>
      <c r="E919" s="354">
        <f>+P897</f>
        <v>316</v>
      </c>
      <c r="F919" s="317" t="s">
        <v>10</v>
      </c>
      <c r="G919" s="350">
        <v>9</v>
      </c>
      <c r="H919" s="252" t="s">
        <v>602</v>
      </c>
      <c r="I919" s="326">
        <f>+R897</f>
        <v>1.07</v>
      </c>
      <c r="J919" s="326">
        <f>+S897</f>
        <v>0.99065420560747663</v>
      </c>
      <c r="K919" s="153">
        <f t="shared" si="22"/>
        <v>3014.6400000000003</v>
      </c>
      <c r="L919" s="20" t="s">
        <v>37</v>
      </c>
      <c r="M919" s="1146"/>
      <c r="N919" s="1103"/>
      <c r="O919"/>
      <c r="P919" s="159"/>
      <c r="Q919" s="147"/>
      <c r="T919" s="149"/>
    </row>
    <row r="920" spans="1:24" ht="30" customHeight="1">
      <c r="A920" s="45" t="s">
        <v>538</v>
      </c>
      <c r="B920" s="1307" t="s">
        <v>683</v>
      </c>
      <c r="C920" s="1307"/>
      <c r="D920" s="1307"/>
      <c r="E920" s="354">
        <f>+P892</f>
        <v>11.17</v>
      </c>
      <c r="F920" s="20" t="s">
        <v>8</v>
      </c>
      <c r="G920" s="350">
        <f>2*468</f>
        <v>936</v>
      </c>
      <c r="H920" s="252" t="s">
        <v>599</v>
      </c>
      <c r="I920" s="326">
        <f>+R892</f>
        <v>1.05</v>
      </c>
      <c r="J920" s="326">
        <f>+S892</f>
        <v>0.99065420560747663</v>
      </c>
      <c r="K920" s="153">
        <f t="shared" si="22"/>
        <v>10875.279028037385</v>
      </c>
      <c r="L920" s="20" t="s">
        <v>37</v>
      </c>
      <c r="M920" s="1146"/>
      <c r="N920" s="1103"/>
      <c r="O920"/>
      <c r="P920" s="159"/>
      <c r="Q920" s="147"/>
      <c r="T920" s="149"/>
    </row>
    <row r="921" spans="1:24" ht="30" customHeight="1">
      <c r="A921" s="45" t="s">
        <v>480</v>
      </c>
      <c r="B921" s="1307" t="s">
        <v>854</v>
      </c>
      <c r="C921" s="1307"/>
      <c r="D921" s="1307"/>
      <c r="E921" s="354">
        <f>+P893</f>
        <v>17.95</v>
      </c>
      <c r="F921" s="20" t="s">
        <v>8</v>
      </c>
      <c r="G921" s="350">
        <f>2152*2</f>
        <v>4304</v>
      </c>
      <c r="H921" s="252" t="s">
        <v>599</v>
      </c>
      <c r="I921" s="326">
        <f>+R893</f>
        <v>1.07</v>
      </c>
      <c r="J921" s="326">
        <f>+S893</f>
        <v>0.99065420560747663</v>
      </c>
      <c r="K921" s="153">
        <f t="shared" si="22"/>
        <v>81892.208000000013</v>
      </c>
      <c r="L921" s="20" t="s">
        <v>37</v>
      </c>
      <c r="M921" s="1146"/>
      <c r="N921" s="1103"/>
      <c r="O921"/>
      <c r="P921" s="159"/>
      <c r="Q921" s="147"/>
      <c r="T921" s="149"/>
    </row>
    <row r="922" spans="1:24" ht="30" customHeight="1">
      <c r="A922" s="45" t="s">
        <v>480</v>
      </c>
      <c r="B922" s="1307" t="s">
        <v>773</v>
      </c>
      <c r="C922" s="1307"/>
      <c r="D922" s="1307"/>
      <c r="E922" s="354">
        <f>+P893</f>
        <v>17.95</v>
      </c>
      <c r="F922" s="20" t="s">
        <v>8</v>
      </c>
      <c r="G922" s="396">
        <f>80.7*1</f>
        <v>80.7</v>
      </c>
      <c r="H922" s="252" t="s">
        <v>599</v>
      </c>
      <c r="I922" s="326">
        <f>+R893</f>
        <v>1.07</v>
      </c>
      <c r="J922" s="326">
        <f>+S893</f>
        <v>0.99065420560747663</v>
      </c>
      <c r="K922" s="153">
        <f t="shared" si="22"/>
        <v>1535.4789000000001</v>
      </c>
      <c r="L922" s="20" t="s">
        <v>37</v>
      </c>
      <c r="M922" s="1146"/>
      <c r="N922" s="1103"/>
      <c r="O922"/>
      <c r="P922" s="159"/>
      <c r="Q922" s="147"/>
      <c r="T922" s="149"/>
    </row>
    <row r="923" spans="1:24" ht="30" customHeight="1">
      <c r="A923" s="45" t="s">
        <v>600</v>
      </c>
      <c r="B923" s="1307" t="s">
        <v>635</v>
      </c>
      <c r="C923" s="1307"/>
      <c r="D923" s="1307"/>
      <c r="E923" s="354">
        <f>+P896</f>
        <v>800</v>
      </c>
      <c r="F923" s="317" t="s">
        <v>10</v>
      </c>
      <c r="G923" s="350">
        <v>5</v>
      </c>
      <c r="H923" s="252" t="s">
        <v>602</v>
      </c>
      <c r="I923" s="326">
        <f>+R896</f>
        <v>1.07</v>
      </c>
      <c r="J923" s="326">
        <f>+S896</f>
        <v>0.99065420560747663</v>
      </c>
      <c r="K923" s="153">
        <f t="shared" si="22"/>
        <v>4240</v>
      </c>
      <c r="L923" s="20" t="s">
        <v>37</v>
      </c>
      <c r="M923" s="1146"/>
      <c r="N923" s="1103"/>
      <c r="O923"/>
      <c r="P923" s="159"/>
      <c r="Q923" s="147"/>
      <c r="T923" s="149"/>
    </row>
    <row r="924" spans="1:24" ht="30" customHeight="1">
      <c r="A924" s="45" t="s">
        <v>461</v>
      </c>
      <c r="B924" s="1307" t="s">
        <v>855</v>
      </c>
      <c r="C924" s="1307"/>
      <c r="D924" s="1307"/>
      <c r="E924" s="354">
        <f>+P903</f>
        <v>17.125</v>
      </c>
      <c r="F924" s="317" t="s">
        <v>6</v>
      </c>
      <c r="G924" s="350">
        <f>+((656*2)+(49*1))</f>
        <v>1361</v>
      </c>
      <c r="H924" s="252" t="s">
        <v>608</v>
      </c>
      <c r="I924" s="326">
        <f>+R903</f>
        <v>1.07</v>
      </c>
      <c r="J924" s="326">
        <f>+S903</f>
        <v>0.99065420560747663</v>
      </c>
      <c r="K924" s="153">
        <f t="shared" si="22"/>
        <v>24705.552500000002</v>
      </c>
      <c r="L924" s="20" t="s">
        <v>37</v>
      </c>
      <c r="M924" s="1146"/>
      <c r="N924" s="1103"/>
      <c r="O924"/>
      <c r="P924" s="159"/>
      <c r="Q924" s="147"/>
      <c r="T924" s="149"/>
    </row>
    <row r="925" spans="1:24" ht="30" customHeight="1">
      <c r="A925" s="45" t="s">
        <v>461</v>
      </c>
      <c r="B925" s="1307" t="s">
        <v>759</v>
      </c>
      <c r="C925" s="1307"/>
      <c r="D925" s="1307"/>
      <c r="E925" s="354">
        <f>+P904</f>
        <v>2617.5</v>
      </c>
      <c r="F925" s="317" t="s">
        <v>10</v>
      </c>
      <c r="G925" s="350">
        <v>3</v>
      </c>
      <c r="H925" s="252" t="s">
        <v>602</v>
      </c>
      <c r="I925" s="326">
        <f>+R904</f>
        <v>1.07</v>
      </c>
      <c r="J925" s="326">
        <f>+S904</f>
        <v>0.99065420560747663</v>
      </c>
      <c r="K925" s="153">
        <f t="shared" si="22"/>
        <v>8323.6500000000015</v>
      </c>
      <c r="L925" s="20" t="s">
        <v>37</v>
      </c>
      <c r="M925" s="1146"/>
      <c r="N925" s="1103"/>
      <c r="O925"/>
      <c r="P925" s="159"/>
      <c r="Q925" s="147"/>
      <c r="T925" s="149"/>
      <c r="U925" s="38"/>
      <c r="V925" s="38"/>
      <c r="W925" s="38"/>
      <c r="X925" s="38"/>
    </row>
    <row r="926" spans="1:24" s="38" customFormat="1" ht="30" customHeight="1">
      <c r="A926" s="45" t="s">
        <v>600</v>
      </c>
      <c r="B926" s="1307" t="s">
        <v>685</v>
      </c>
      <c r="C926" s="1307"/>
      <c r="D926" s="1307"/>
      <c r="E926" s="354">
        <f>+P899</f>
        <v>985</v>
      </c>
      <c r="F926" s="317" t="s">
        <v>10</v>
      </c>
      <c r="G926" s="350">
        <v>5</v>
      </c>
      <c r="H926" s="252" t="s">
        <v>602</v>
      </c>
      <c r="I926" s="326">
        <f t="shared" ref="I926:J928" si="23">+R899</f>
        <v>1.07</v>
      </c>
      <c r="J926" s="326">
        <f t="shared" si="23"/>
        <v>0.99065420560747663</v>
      </c>
      <c r="K926" s="153">
        <f t="shared" si="22"/>
        <v>5220.5</v>
      </c>
      <c r="L926" s="20" t="s">
        <v>37</v>
      </c>
      <c r="M926" s="1146"/>
      <c r="N926" s="1103"/>
      <c r="P926" s="159"/>
      <c r="Q926" s="147"/>
      <c r="T926" s="149"/>
      <c r="U926"/>
      <c r="V926"/>
      <c r="W926"/>
      <c r="X926"/>
    </row>
    <row r="927" spans="1:24" ht="30" customHeight="1">
      <c r="A927" s="45" t="s">
        <v>604</v>
      </c>
      <c r="B927" s="1307" t="s">
        <v>760</v>
      </c>
      <c r="C927" s="1307"/>
      <c r="D927" s="1307"/>
      <c r="E927" s="354">
        <f>+P900</f>
        <v>137.85</v>
      </c>
      <c r="F927" s="262" t="s">
        <v>10</v>
      </c>
      <c r="G927" s="350">
        <v>46</v>
      </c>
      <c r="H927" s="252" t="s">
        <v>602</v>
      </c>
      <c r="I927" s="326">
        <f t="shared" si="23"/>
        <v>1.07</v>
      </c>
      <c r="J927" s="326">
        <f t="shared" si="23"/>
        <v>0.99065420560747663</v>
      </c>
      <c r="K927" s="153">
        <f t="shared" si="22"/>
        <v>6721.5659999999998</v>
      </c>
      <c r="L927" s="20" t="s">
        <v>37</v>
      </c>
      <c r="M927" s="1146"/>
      <c r="N927" s="1103"/>
      <c r="O927"/>
      <c r="P927" s="159"/>
      <c r="Q927" s="147"/>
      <c r="T927" s="149"/>
    </row>
    <row r="928" spans="1:24" ht="30" customHeight="1">
      <c r="A928" s="45" t="s">
        <v>606</v>
      </c>
      <c r="B928" s="1188" t="s">
        <v>622</v>
      </c>
      <c r="C928" s="1189"/>
      <c r="D928" s="1190"/>
      <c r="E928" s="354">
        <f>+P901</f>
        <v>17.110000000000003</v>
      </c>
      <c r="F928" s="262" t="s">
        <v>6</v>
      </c>
      <c r="G928" s="350">
        <v>13582</v>
      </c>
      <c r="H928" s="252" t="s">
        <v>608</v>
      </c>
      <c r="I928" s="326">
        <f t="shared" si="23"/>
        <v>1.07</v>
      </c>
      <c r="J928" s="326">
        <f t="shared" si="23"/>
        <v>0.99065420560747663</v>
      </c>
      <c r="K928" s="153">
        <f t="shared" si="22"/>
        <v>246331.30120000005</v>
      </c>
      <c r="L928" s="20" t="s">
        <v>37</v>
      </c>
      <c r="M928" s="1146"/>
      <c r="N928" s="1103"/>
      <c r="O928"/>
      <c r="P928" s="159"/>
      <c r="Q928" s="147"/>
      <c r="T928" s="149"/>
    </row>
    <row r="929" spans="1:24" ht="30" customHeight="1">
      <c r="A929" s="45">
        <v>93410</v>
      </c>
      <c r="B929" s="1188" t="s">
        <v>856</v>
      </c>
      <c r="C929" s="1189"/>
      <c r="D929" s="1190"/>
      <c r="E929" s="241">
        <f>+P911</f>
        <v>1.1000000000000001</v>
      </c>
      <c r="F929" s="262" t="s">
        <v>3</v>
      </c>
      <c r="G929" s="350">
        <v>1435</v>
      </c>
      <c r="H929" s="252" t="s">
        <v>857</v>
      </c>
      <c r="I929" s="383">
        <f>+R911</f>
        <v>0.94232233454704462</v>
      </c>
      <c r="J929" s="20"/>
      <c r="K929" s="153">
        <f>+E929*G929*I929</f>
        <v>1487.4558050825101</v>
      </c>
      <c r="L929" s="20" t="s">
        <v>37</v>
      </c>
      <c r="M929" s="1146"/>
      <c r="N929" s="1103"/>
      <c r="O929"/>
      <c r="P929" s="159"/>
      <c r="Q929" s="147"/>
      <c r="T929" s="149"/>
    </row>
    <row r="930" spans="1:24" ht="30" customHeight="1">
      <c r="A930" s="45">
        <v>93410</v>
      </c>
      <c r="B930" s="1188" t="s">
        <v>858</v>
      </c>
      <c r="C930" s="1189"/>
      <c r="D930" s="1190"/>
      <c r="E930" s="354">
        <f>+P910</f>
        <v>8.1999999999999993</v>
      </c>
      <c r="F930" s="262" t="s">
        <v>285</v>
      </c>
      <c r="G930" s="350">
        <v>17139</v>
      </c>
      <c r="H930" s="252" t="s">
        <v>611</v>
      </c>
      <c r="I930" s="383">
        <f>+R910</f>
        <v>0.94232233454704462</v>
      </c>
      <c r="J930" s="20"/>
      <c r="K930" s="153">
        <f>+E930*G930*I930</f>
        <v>132433.79243277473</v>
      </c>
      <c r="L930" s="20" t="s">
        <v>37</v>
      </c>
      <c r="M930" s="1146"/>
      <c r="N930" s="1103"/>
      <c r="O930"/>
      <c r="P930" s="159"/>
      <c r="Q930" s="147"/>
      <c r="T930" s="149"/>
    </row>
    <row r="931" spans="1:24" ht="30" customHeight="1">
      <c r="A931" s="45">
        <v>93210</v>
      </c>
      <c r="B931" s="1188" t="s">
        <v>859</v>
      </c>
      <c r="C931" s="1189"/>
      <c r="D931" s="1190"/>
      <c r="E931" s="354">
        <f>+P912</f>
        <v>45.8</v>
      </c>
      <c r="F931" s="262" t="s">
        <v>285</v>
      </c>
      <c r="G931" s="350">
        <v>431</v>
      </c>
      <c r="H931" s="252" t="s">
        <v>611</v>
      </c>
      <c r="I931" s="383">
        <f>+R912</f>
        <v>0.94232233454704462</v>
      </c>
      <c r="J931" s="20"/>
      <c r="K931" s="153">
        <f>+E931*G931*I931</f>
        <v>18601.25441949175</v>
      </c>
      <c r="L931" s="20" t="s">
        <v>37</v>
      </c>
      <c r="M931" s="1146"/>
      <c r="N931" s="1103"/>
      <c r="O931"/>
      <c r="P931" s="159"/>
      <c r="Q931" s="147"/>
      <c r="T931" s="149"/>
    </row>
    <row r="932" spans="1:24" ht="30" customHeight="1">
      <c r="A932" s="45" t="s">
        <v>624</v>
      </c>
      <c r="B932" s="1188" t="s">
        <v>860</v>
      </c>
      <c r="C932" s="1189"/>
      <c r="D932" s="1190"/>
      <c r="E932" s="241">
        <f>+P889</f>
        <v>18.05</v>
      </c>
      <c r="F932" s="262" t="s">
        <v>8</v>
      </c>
      <c r="G932" s="350">
        <v>1600</v>
      </c>
      <c r="H932" s="252" t="s">
        <v>599</v>
      </c>
      <c r="I932" s="334">
        <f>+R889</f>
        <v>1.1000000000000001</v>
      </c>
      <c r="J932" s="326">
        <f>+S889</f>
        <v>0.99065420560747663</v>
      </c>
      <c r="K932" s="153">
        <f>+E932*G932*I932*J932</f>
        <v>31471.102803738322</v>
      </c>
      <c r="L932" s="20" t="s">
        <v>37</v>
      </c>
      <c r="M932" s="1146"/>
      <c r="N932" s="1103"/>
      <c r="O932"/>
      <c r="P932" s="159"/>
      <c r="Q932" s="147"/>
      <c r="T932" s="149"/>
    </row>
    <row r="933" spans="1:24" ht="30" customHeight="1">
      <c r="A933" s="45"/>
      <c r="B933" s="1307"/>
      <c r="C933" s="1307"/>
      <c r="D933" s="1307"/>
      <c r="E933" s="213"/>
      <c r="F933" s="45"/>
      <c r="G933" s="395"/>
      <c r="H933" s="329"/>
      <c r="I933" s="20"/>
      <c r="J933" s="20" t="s">
        <v>379</v>
      </c>
      <c r="K933" s="153">
        <f>SUM(K917:K932)</f>
        <v>586357.49342557334</v>
      </c>
      <c r="L933" s="20" t="s">
        <v>37</v>
      </c>
      <c r="M933" s="1146"/>
      <c r="N933" s="1103"/>
      <c r="O933"/>
      <c r="P933" s="159"/>
      <c r="Q933" s="147"/>
      <c r="T933" s="149"/>
    </row>
    <row r="934" spans="1:24" ht="30" customHeight="1" thickBot="1">
      <c r="A934" s="45"/>
      <c r="B934" s="45"/>
      <c r="C934" s="46"/>
      <c r="D934" s="46"/>
      <c r="E934" s="46"/>
      <c r="F934" s="46"/>
      <c r="G934" s="176" t="s">
        <v>312</v>
      </c>
      <c r="H934" s="46"/>
      <c r="I934" s="18"/>
      <c r="J934" s="139">
        <f>VLOOKUP(B914,'Mil Cost Premiums for RUCs'!$A$4:$R$266,18,FALSE)</f>
        <v>1.0485669999999998</v>
      </c>
      <c r="K934" s="21">
        <f>+K933*J934</f>
        <v>614835.11780877307</v>
      </c>
      <c r="L934" s="45" t="s">
        <v>37</v>
      </c>
      <c r="M934" s="1146"/>
      <c r="N934" s="1103"/>
      <c r="O934"/>
      <c r="P934" s="159"/>
      <c r="Q934" s="147"/>
      <c r="T934" s="149"/>
    </row>
    <row r="935" spans="1:24" ht="30" customHeight="1" thickBot="1">
      <c r="A935" s="1165"/>
      <c r="B935" s="1166"/>
      <c r="C935" s="1166"/>
      <c r="D935" s="1166"/>
      <c r="E935" s="1166"/>
      <c r="F935" s="1166"/>
      <c r="G935" s="1166"/>
      <c r="H935" s="1166"/>
      <c r="I935" s="1166"/>
      <c r="J935" s="1166"/>
      <c r="K935" s="1166"/>
      <c r="L935" s="1167"/>
      <c r="M935" s="1146"/>
      <c r="N935" s="1103"/>
      <c r="O935"/>
      <c r="P935" s="159"/>
      <c r="Q935" s="147"/>
      <c r="T935" s="149"/>
    </row>
    <row r="936" spans="1:24" ht="75" customHeight="1">
      <c r="A936" s="1024" t="s">
        <v>280</v>
      </c>
      <c r="B936" s="1025">
        <v>1781</v>
      </c>
      <c r="C936" s="1197" t="s">
        <v>861</v>
      </c>
      <c r="D936" s="1198"/>
      <c r="E936" s="74" t="s">
        <v>282</v>
      </c>
      <c r="F936" s="75" t="s">
        <v>37</v>
      </c>
      <c r="G936" s="181" t="s">
        <v>862</v>
      </c>
      <c r="H936" s="145">
        <v>1</v>
      </c>
      <c r="I936" s="74" t="s">
        <v>283</v>
      </c>
      <c r="J936" s="1199" t="s">
        <v>2611</v>
      </c>
      <c r="K936" s="1199"/>
      <c r="L936" s="1200"/>
      <c r="M936" s="1146"/>
      <c r="N936" s="1103"/>
      <c r="O936"/>
      <c r="P936" s="159"/>
      <c r="Q936" s="147"/>
      <c r="T936" s="149"/>
    </row>
    <row r="937" spans="1:24" ht="30" customHeight="1">
      <c r="A937" s="35" t="s">
        <v>597</v>
      </c>
      <c r="B937" s="1300" t="s">
        <v>330</v>
      </c>
      <c r="C937" s="1301"/>
      <c r="D937" s="1302"/>
      <c r="E937" s="150" t="s">
        <v>295</v>
      </c>
      <c r="F937" s="150" t="s">
        <v>331</v>
      </c>
      <c r="G937" s="1204" t="s">
        <v>332</v>
      </c>
      <c r="H937" s="1205"/>
      <c r="I937" s="77" t="s">
        <v>305</v>
      </c>
      <c r="J937" s="151" t="s">
        <v>308</v>
      </c>
      <c r="K937" s="1206" t="s">
        <v>297</v>
      </c>
      <c r="L937" s="1207"/>
      <c r="M937" s="1146"/>
      <c r="N937" s="1103"/>
      <c r="O937"/>
      <c r="P937" s="159"/>
      <c r="Q937" s="147"/>
      <c r="T937" s="149"/>
    </row>
    <row r="938" spans="1:24" ht="30" customHeight="1">
      <c r="A938" s="45">
        <v>93210</v>
      </c>
      <c r="B938" s="1188" t="s">
        <v>863</v>
      </c>
      <c r="C938" s="1189"/>
      <c r="D938" s="1190"/>
      <c r="E938" s="354">
        <f>+P912</f>
        <v>45.8</v>
      </c>
      <c r="F938" s="317" t="s">
        <v>285</v>
      </c>
      <c r="G938" s="350">
        <v>205</v>
      </c>
      <c r="H938" s="252" t="s">
        <v>611</v>
      </c>
      <c r="I938" s="383">
        <f>+R912</f>
        <v>0.94232233454704462</v>
      </c>
      <c r="J938" s="20"/>
      <c r="K938" s="153">
        <f>+E938*G938*I938</f>
        <v>8847.4643990622026</v>
      </c>
      <c r="L938" s="20" t="s">
        <v>37</v>
      </c>
      <c r="M938" s="1146"/>
      <c r="N938" s="1103"/>
      <c r="O938"/>
      <c r="P938" s="159"/>
      <c r="Q938" s="147"/>
      <c r="T938" s="149"/>
      <c r="U938" s="38"/>
      <c r="V938" s="38"/>
      <c r="W938" s="38"/>
      <c r="X938" s="38"/>
    </row>
    <row r="939" spans="1:24" s="38" customFormat="1" ht="30" customHeight="1">
      <c r="A939" s="45" t="s">
        <v>538</v>
      </c>
      <c r="B939" s="1188" t="s">
        <v>864</v>
      </c>
      <c r="C939" s="1189"/>
      <c r="D939" s="1190"/>
      <c r="E939" s="241">
        <f>+P891</f>
        <v>9.15</v>
      </c>
      <c r="F939" s="317" t="s">
        <v>8</v>
      </c>
      <c r="G939" s="350">
        <v>160</v>
      </c>
      <c r="H939" s="252" t="s">
        <v>599</v>
      </c>
      <c r="I939" s="20">
        <f>+R891</f>
        <v>1.05</v>
      </c>
      <c r="J939" s="326">
        <f>+S891</f>
        <v>0.99065420560747663</v>
      </c>
      <c r="K939" s="153">
        <f>+E939*G939*I939*J939</f>
        <v>1522.8336448598131</v>
      </c>
      <c r="L939" s="20" t="s">
        <v>37</v>
      </c>
      <c r="M939" s="1146"/>
      <c r="N939" s="1103"/>
      <c r="P939" s="159"/>
      <c r="Q939" s="147"/>
      <c r="T939" s="149"/>
      <c r="U939"/>
      <c r="V939"/>
      <c r="W939"/>
      <c r="X939"/>
    </row>
    <row r="940" spans="1:24" ht="30" customHeight="1">
      <c r="A940" s="45" t="s">
        <v>538</v>
      </c>
      <c r="B940" s="1188" t="s">
        <v>865</v>
      </c>
      <c r="C940" s="1189"/>
      <c r="D940" s="1190"/>
      <c r="E940" s="241">
        <f>+P892</f>
        <v>11.17</v>
      </c>
      <c r="F940" s="20" t="s">
        <v>8</v>
      </c>
      <c r="G940" s="350">
        <v>1614</v>
      </c>
      <c r="H940" s="252" t="s">
        <v>599</v>
      </c>
      <c r="I940" s="20">
        <f>+R892</f>
        <v>1.05</v>
      </c>
      <c r="J940" s="326">
        <f>+S892</f>
        <v>0.99065420560747663</v>
      </c>
      <c r="K940" s="153">
        <f>+E940*G940*I940*J940</f>
        <v>18752.884990654209</v>
      </c>
      <c r="L940" s="20" t="s">
        <v>37</v>
      </c>
      <c r="M940" s="1146"/>
      <c r="N940" s="1103"/>
      <c r="O940"/>
      <c r="P940" s="159"/>
      <c r="Q940" s="147"/>
      <c r="T940" s="149"/>
    </row>
    <row r="941" spans="1:24" ht="30" customHeight="1">
      <c r="A941" s="45">
        <v>93410</v>
      </c>
      <c r="B941" s="1188" t="s">
        <v>866</v>
      </c>
      <c r="C941" s="1189"/>
      <c r="D941" s="1190"/>
      <c r="E941" s="354">
        <f>+P910</f>
        <v>8.1999999999999993</v>
      </c>
      <c r="F941" s="317" t="s">
        <v>285</v>
      </c>
      <c r="G941" s="350">
        <v>235</v>
      </c>
      <c r="H941" s="252" t="s">
        <v>611</v>
      </c>
      <c r="I941" s="383">
        <f>+R910</f>
        <v>0.94232233454704462</v>
      </c>
      <c r="J941" s="20"/>
      <c r="K941" s="153">
        <f>+E941*G941*I941</f>
        <v>1815.8551386721547</v>
      </c>
      <c r="L941" s="20" t="s">
        <v>37</v>
      </c>
      <c r="M941" s="1146"/>
      <c r="N941" s="1103"/>
      <c r="O941"/>
      <c r="P941" s="159"/>
      <c r="Q941" s="147"/>
      <c r="T941" s="149"/>
    </row>
    <row r="942" spans="1:24" ht="30" customHeight="1">
      <c r="A942" s="45"/>
      <c r="B942" s="1307"/>
      <c r="C942" s="1307"/>
      <c r="D942" s="1307"/>
      <c r="E942" s="153"/>
      <c r="F942" s="20"/>
      <c r="G942" s="395"/>
      <c r="H942" s="329"/>
      <c r="I942" s="20"/>
      <c r="J942" s="20" t="s">
        <v>379</v>
      </c>
      <c r="K942" s="153">
        <f>SUM(K938:K940)</f>
        <v>29123.183034576225</v>
      </c>
      <c r="L942" s="20" t="s">
        <v>37</v>
      </c>
      <c r="M942" s="1146"/>
      <c r="N942" s="1103"/>
      <c r="O942"/>
      <c r="P942" s="159"/>
      <c r="Q942" s="147"/>
      <c r="T942" s="149"/>
    </row>
    <row r="943" spans="1:24" ht="30" customHeight="1" thickBot="1">
      <c r="A943" s="45"/>
      <c r="B943" s="45"/>
      <c r="C943" s="46"/>
      <c r="D943" s="46"/>
      <c r="E943" s="18"/>
      <c r="F943" s="18"/>
      <c r="G943" s="160" t="s">
        <v>312</v>
      </c>
      <c r="H943" s="18"/>
      <c r="I943" s="18"/>
      <c r="J943" s="139">
        <f>VLOOKUP(B936,'Mil Cost Premiums for RUCs'!$A$4:$R$266,18,FALSE)</f>
        <v>1.0485669999999998</v>
      </c>
      <c r="K943" s="23">
        <f>+K942*J943</f>
        <v>30537.608665016483</v>
      </c>
      <c r="L943" s="20" t="s">
        <v>37</v>
      </c>
      <c r="M943" s="1146"/>
      <c r="N943" s="1103"/>
      <c r="O943"/>
      <c r="P943" s="159"/>
      <c r="Q943" s="147"/>
      <c r="T943" s="149"/>
    </row>
    <row r="944" spans="1:24" ht="30" customHeight="1" thickBot="1">
      <c r="A944" s="1165"/>
      <c r="B944" s="1166"/>
      <c r="C944" s="1166"/>
      <c r="D944" s="1166"/>
      <c r="E944" s="1166"/>
      <c r="F944" s="1166"/>
      <c r="G944" s="1166"/>
      <c r="H944" s="1166"/>
      <c r="I944" s="1166"/>
      <c r="J944" s="1166"/>
      <c r="K944" s="1166"/>
      <c r="L944" s="1167"/>
      <c r="M944" s="1146"/>
      <c r="N944" s="1103"/>
      <c r="O944"/>
      <c r="P944" s="159"/>
      <c r="Q944" s="147"/>
      <c r="T944" s="149"/>
    </row>
    <row r="945" spans="1:24" ht="75" customHeight="1">
      <c r="A945" s="27" t="s">
        <v>280</v>
      </c>
      <c r="B945" s="28">
        <v>1782</v>
      </c>
      <c r="C945" s="1426" t="s">
        <v>867</v>
      </c>
      <c r="D945" s="1427"/>
      <c r="E945" s="30" t="s">
        <v>282</v>
      </c>
      <c r="F945" s="31" t="s">
        <v>37</v>
      </c>
      <c r="G945" s="70" t="s">
        <v>868</v>
      </c>
      <c r="H945" s="186">
        <v>10</v>
      </c>
      <c r="I945" s="30" t="s">
        <v>283</v>
      </c>
      <c r="J945" s="1199" t="s">
        <v>2611</v>
      </c>
      <c r="K945" s="1199"/>
      <c r="L945" s="1200"/>
      <c r="M945" s="1146"/>
      <c r="N945" s="1103"/>
      <c r="O945"/>
      <c r="P945" s="159"/>
      <c r="Q945" s="147"/>
      <c r="T945" s="149"/>
    </row>
    <row r="946" spans="1:24" ht="30" customHeight="1">
      <c r="A946" s="35" t="s">
        <v>597</v>
      </c>
      <c r="B946" s="1300" t="s">
        <v>330</v>
      </c>
      <c r="C946" s="1301"/>
      <c r="D946" s="1302"/>
      <c r="E946" s="362" t="s">
        <v>295</v>
      </c>
      <c r="F946" s="362" t="s">
        <v>331</v>
      </c>
      <c r="G946" s="1356" t="s">
        <v>332</v>
      </c>
      <c r="H946" s="1357"/>
      <c r="I946" s="77" t="s">
        <v>305</v>
      </c>
      <c r="J946" s="151" t="s">
        <v>308</v>
      </c>
      <c r="K946" s="1312" t="s">
        <v>297</v>
      </c>
      <c r="L946" s="1313"/>
      <c r="M946" s="1146"/>
      <c r="N946" s="1103"/>
      <c r="O946"/>
      <c r="P946" s="159"/>
      <c r="Q946" s="147"/>
      <c r="T946" s="149"/>
    </row>
    <row r="947" spans="1:24" ht="30" customHeight="1">
      <c r="A947" s="35"/>
      <c r="B947" s="1383" t="s">
        <v>869</v>
      </c>
      <c r="C947" s="1384"/>
      <c r="D947" s="1385"/>
      <c r="E947" s="362"/>
      <c r="F947" s="362"/>
      <c r="G947" s="392"/>
      <c r="H947" s="393"/>
      <c r="I947" s="244"/>
      <c r="J947" s="244"/>
      <c r="K947" s="362"/>
      <c r="L947" s="362"/>
      <c r="M947" s="1146"/>
      <c r="N947" s="1103"/>
      <c r="O947"/>
      <c r="P947" s="159"/>
      <c r="Q947" s="147"/>
      <c r="T947" s="149"/>
    </row>
    <row r="948" spans="1:24" ht="30" customHeight="1">
      <c r="A948" s="45" t="s">
        <v>538</v>
      </c>
      <c r="B948" s="1188" t="s">
        <v>870</v>
      </c>
      <c r="C948" s="1189"/>
      <c r="D948" s="1190"/>
      <c r="E948" s="354">
        <f>+P891</f>
        <v>9.15</v>
      </c>
      <c r="F948" s="45" t="s">
        <v>8</v>
      </c>
      <c r="G948" s="350">
        <f>9*62</f>
        <v>558</v>
      </c>
      <c r="H948" s="259" t="s">
        <v>599</v>
      </c>
      <c r="I948" s="326">
        <f>+R891</f>
        <v>1.05</v>
      </c>
      <c r="J948" s="326">
        <f>+S891</f>
        <v>0.99065420560747663</v>
      </c>
      <c r="K948" s="213">
        <f t="shared" ref="K948:K956" si="24">+E948*G948*I948*J948</f>
        <v>5310.8823364485979</v>
      </c>
      <c r="L948" s="45" t="s">
        <v>37</v>
      </c>
      <c r="M948" s="1146"/>
      <c r="N948" s="1103"/>
      <c r="O948"/>
      <c r="P948" s="159"/>
      <c r="Q948" s="147"/>
      <c r="T948" s="149"/>
    </row>
    <row r="949" spans="1:24" ht="30" customHeight="1">
      <c r="A949" s="45" t="s">
        <v>600</v>
      </c>
      <c r="B949" s="1188" t="s">
        <v>601</v>
      </c>
      <c r="C949" s="1189"/>
      <c r="D949" s="1190"/>
      <c r="E949" s="354">
        <f>+P895</f>
        <v>439.5</v>
      </c>
      <c r="F949" s="262" t="s">
        <v>10</v>
      </c>
      <c r="G949" s="350">
        <v>9</v>
      </c>
      <c r="H949" s="259" t="s">
        <v>602</v>
      </c>
      <c r="I949" s="326">
        <f>+R895</f>
        <v>1.07</v>
      </c>
      <c r="J949" s="326">
        <f>+S895</f>
        <v>0.99065420560747663</v>
      </c>
      <c r="K949" s="213">
        <f t="shared" si="24"/>
        <v>4192.83</v>
      </c>
      <c r="L949" s="45" t="s">
        <v>37</v>
      </c>
      <c r="M949" s="1146"/>
      <c r="N949" s="1103"/>
      <c r="O949"/>
      <c r="P949" s="159"/>
      <c r="Q949" s="147"/>
      <c r="T949" s="149"/>
    </row>
    <row r="950" spans="1:24" ht="30" customHeight="1">
      <c r="A950" s="45" t="s">
        <v>600</v>
      </c>
      <c r="B950" s="1307" t="s">
        <v>603</v>
      </c>
      <c r="C950" s="1307"/>
      <c r="D950" s="1307"/>
      <c r="E950" s="354">
        <f>+P897</f>
        <v>316</v>
      </c>
      <c r="F950" s="262" t="s">
        <v>10</v>
      </c>
      <c r="G950" s="350">
        <v>9</v>
      </c>
      <c r="H950" s="259" t="s">
        <v>602</v>
      </c>
      <c r="I950" s="326">
        <f>+R897</f>
        <v>1.07</v>
      </c>
      <c r="J950" s="326">
        <f>+S897</f>
        <v>0.99065420560747663</v>
      </c>
      <c r="K950" s="213">
        <f t="shared" si="24"/>
        <v>3014.6400000000003</v>
      </c>
      <c r="L950" s="45" t="s">
        <v>37</v>
      </c>
      <c r="M950" s="1146"/>
      <c r="N950" s="1103"/>
      <c r="O950"/>
      <c r="P950" s="159"/>
      <c r="Q950" s="147"/>
      <c r="T950" s="149"/>
      <c r="U950" s="38"/>
      <c r="V950" s="38"/>
      <c r="W950" s="38"/>
      <c r="X950" s="38"/>
    </row>
    <row r="951" spans="1:24" s="38" customFormat="1" ht="30" customHeight="1">
      <c r="A951" s="45" t="s">
        <v>538</v>
      </c>
      <c r="B951" s="1307" t="s">
        <v>871</v>
      </c>
      <c r="C951" s="1307"/>
      <c r="D951" s="1307"/>
      <c r="E951" s="354">
        <f>+P892</f>
        <v>11.17</v>
      </c>
      <c r="F951" s="45" t="s">
        <v>8</v>
      </c>
      <c r="G951" s="350">
        <f>2*468</f>
        <v>936</v>
      </c>
      <c r="H951" s="259" t="s">
        <v>599</v>
      </c>
      <c r="I951" s="326">
        <f>+R892</f>
        <v>1.05</v>
      </c>
      <c r="J951" s="326">
        <f>+S892</f>
        <v>0.99065420560747663</v>
      </c>
      <c r="K951" s="213">
        <f t="shared" si="24"/>
        <v>10875.279028037385</v>
      </c>
      <c r="L951" s="45" t="s">
        <v>37</v>
      </c>
      <c r="M951" s="1146"/>
      <c r="N951" s="1103"/>
      <c r="P951" s="159"/>
      <c r="Q951" s="147"/>
      <c r="T951" s="149"/>
      <c r="U951"/>
      <c r="V951"/>
      <c r="W951"/>
      <c r="X951"/>
    </row>
    <row r="952" spans="1:24" ht="30" customHeight="1">
      <c r="A952" s="45" t="s">
        <v>480</v>
      </c>
      <c r="B952" s="1307" t="s">
        <v>773</v>
      </c>
      <c r="C952" s="1307"/>
      <c r="D952" s="1307"/>
      <c r="E952" s="354">
        <f>+P893</f>
        <v>17.95</v>
      </c>
      <c r="F952" s="45" t="s">
        <v>8</v>
      </c>
      <c r="G952" s="396">
        <f>80.7*1</f>
        <v>80.7</v>
      </c>
      <c r="H952" s="259" t="s">
        <v>599</v>
      </c>
      <c r="I952" s="326">
        <f>+R893</f>
        <v>1.07</v>
      </c>
      <c r="J952" s="326">
        <f>+S893</f>
        <v>0.99065420560747663</v>
      </c>
      <c r="K952" s="213">
        <f t="shared" si="24"/>
        <v>1535.4789000000001</v>
      </c>
      <c r="L952" s="45" t="s">
        <v>37</v>
      </c>
      <c r="M952" s="1146"/>
      <c r="N952" s="1103"/>
      <c r="O952"/>
      <c r="P952" s="159"/>
      <c r="Q952" s="147"/>
      <c r="T952" s="149"/>
    </row>
    <row r="953" spans="1:24" ht="30" customHeight="1">
      <c r="A953" s="45" t="s">
        <v>600</v>
      </c>
      <c r="B953" s="1307" t="s">
        <v>635</v>
      </c>
      <c r="C953" s="1307"/>
      <c r="D953" s="1307"/>
      <c r="E953" s="354">
        <f>+P896</f>
        <v>800</v>
      </c>
      <c r="F953" s="262" t="s">
        <v>10</v>
      </c>
      <c r="G953" s="350">
        <v>2</v>
      </c>
      <c r="H953" s="259" t="s">
        <v>602</v>
      </c>
      <c r="I953" s="326">
        <f>+R896</f>
        <v>1.07</v>
      </c>
      <c r="J953" s="326">
        <f>+S896</f>
        <v>0.99065420560747663</v>
      </c>
      <c r="K953" s="213">
        <f t="shared" si="24"/>
        <v>1696</v>
      </c>
      <c r="L953" s="45" t="s">
        <v>37</v>
      </c>
      <c r="M953" s="1146"/>
      <c r="N953" s="1103"/>
      <c r="O953"/>
      <c r="P953" s="159"/>
      <c r="Q953" s="147"/>
      <c r="T953" s="149"/>
    </row>
    <row r="954" spans="1:24" ht="30" customHeight="1">
      <c r="A954" s="45" t="s">
        <v>600</v>
      </c>
      <c r="B954" s="1307" t="s">
        <v>685</v>
      </c>
      <c r="C954" s="1307"/>
      <c r="D954" s="1307"/>
      <c r="E954" s="354">
        <f>+P899</f>
        <v>985</v>
      </c>
      <c r="F954" s="262" t="s">
        <v>10</v>
      </c>
      <c r="G954" s="350">
        <v>2</v>
      </c>
      <c r="H954" s="259" t="s">
        <v>602</v>
      </c>
      <c r="I954" s="326">
        <f t="shared" ref="I954:J956" si="25">+R899</f>
        <v>1.07</v>
      </c>
      <c r="J954" s="326">
        <f t="shared" si="25"/>
        <v>0.99065420560747663</v>
      </c>
      <c r="K954" s="213">
        <f t="shared" si="24"/>
        <v>2088.2000000000003</v>
      </c>
      <c r="L954" s="45" t="s">
        <v>37</v>
      </c>
      <c r="M954" s="1146"/>
      <c r="N954" s="1103"/>
      <c r="O954"/>
      <c r="P954" s="159"/>
      <c r="Q954" s="147"/>
      <c r="T954" s="149"/>
    </row>
    <row r="955" spans="1:24" ht="30" customHeight="1">
      <c r="A955" s="45" t="s">
        <v>604</v>
      </c>
      <c r="B955" s="1307" t="s">
        <v>885</v>
      </c>
      <c r="C955" s="1307"/>
      <c r="D955" s="1307"/>
      <c r="E955" s="354">
        <f>+P900</f>
        <v>137.85</v>
      </c>
      <c r="F955" s="262" t="s">
        <v>10</v>
      </c>
      <c r="G955" s="350">
        <v>46</v>
      </c>
      <c r="H955" s="252" t="s">
        <v>602</v>
      </c>
      <c r="I955" s="326">
        <f t="shared" si="25"/>
        <v>1.07</v>
      </c>
      <c r="J955" s="326">
        <f t="shared" si="25"/>
        <v>0.99065420560747663</v>
      </c>
      <c r="K955" s="153">
        <f t="shared" si="24"/>
        <v>6721.5659999999998</v>
      </c>
      <c r="L955" s="20" t="s">
        <v>37</v>
      </c>
      <c r="M955" s="1146"/>
      <c r="N955" s="1103"/>
      <c r="O955"/>
      <c r="P955" s="159"/>
      <c r="Q955" s="147"/>
      <c r="T955" s="149"/>
    </row>
    <row r="956" spans="1:24" ht="30" customHeight="1">
      <c r="A956" s="45" t="s">
        <v>606</v>
      </c>
      <c r="B956" s="1188" t="s">
        <v>622</v>
      </c>
      <c r="C956" s="1189"/>
      <c r="D956" s="1190"/>
      <c r="E956" s="354">
        <f>+P901</f>
        <v>17.110000000000003</v>
      </c>
      <c r="F956" s="262" t="s">
        <v>6</v>
      </c>
      <c r="G956" s="350">
        <v>2753</v>
      </c>
      <c r="H956" s="252" t="s">
        <v>608</v>
      </c>
      <c r="I956" s="326">
        <f t="shared" si="25"/>
        <v>1.07</v>
      </c>
      <c r="J956" s="326">
        <f t="shared" si="25"/>
        <v>0.99065420560747663</v>
      </c>
      <c r="K956" s="153">
        <f t="shared" si="24"/>
        <v>49930.05980000001</v>
      </c>
      <c r="L956" s="20" t="s">
        <v>37</v>
      </c>
      <c r="M956" s="1146"/>
      <c r="N956" s="1103"/>
      <c r="O956"/>
      <c r="P956" s="159"/>
      <c r="Q956" s="147"/>
      <c r="T956" s="149"/>
    </row>
    <row r="957" spans="1:24" ht="30" customHeight="1">
      <c r="A957" s="45">
        <v>93410</v>
      </c>
      <c r="B957" s="1188" t="s">
        <v>856</v>
      </c>
      <c r="C957" s="1189"/>
      <c r="D957" s="1190"/>
      <c r="E957" s="241">
        <f>+P911</f>
        <v>1.1000000000000001</v>
      </c>
      <c r="F957" s="317" t="s">
        <v>3</v>
      </c>
      <c r="G957" s="350">
        <v>1435</v>
      </c>
      <c r="H957" s="252" t="s">
        <v>857</v>
      </c>
      <c r="I957" s="383">
        <f>+R911</f>
        <v>0.94232233454704462</v>
      </c>
      <c r="J957" s="20"/>
      <c r="K957" s="153">
        <f>+E957*G957*I957</f>
        <v>1487.4558050825101</v>
      </c>
      <c r="L957" s="20" t="s">
        <v>37</v>
      </c>
      <c r="M957" s="1146"/>
      <c r="N957" s="1103"/>
      <c r="O957"/>
      <c r="P957" s="159"/>
      <c r="Q957" s="147"/>
      <c r="T957" s="149"/>
    </row>
    <row r="958" spans="1:24" ht="30" customHeight="1">
      <c r="A958" s="45">
        <v>93410</v>
      </c>
      <c r="B958" s="1188" t="s">
        <v>806</v>
      </c>
      <c r="C958" s="1189"/>
      <c r="D958" s="1190"/>
      <c r="E958" s="354">
        <f>+P910</f>
        <v>8.1999999999999993</v>
      </c>
      <c r="F958" s="317" t="s">
        <v>285</v>
      </c>
      <c r="G958" s="350">
        <v>17139</v>
      </c>
      <c r="H958" s="252" t="s">
        <v>611</v>
      </c>
      <c r="I958" s="383">
        <f>+R910</f>
        <v>0.94232233454704462</v>
      </c>
      <c r="J958" s="20"/>
      <c r="K958" s="153">
        <f>+E958*G958*I958</f>
        <v>132433.79243277473</v>
      </c>
      <c r="L958" s="20" t="s">
        <v>37</v>
      </c>
      <c r="M958" s="1146"/>
      <c r="N958" s="1103"/>
      <c r="O958"/>
      <c r="P958" s="159"/>
      <c r="Q958" s="147"/>
      <c r="T958" s="149"/>
    </row>
    <row r="959" spans="1:24" ht="30" customHeight="1">
      <c r="A959" s="45">
        <v>93210</v>
      </c>
      <c r="B959" s="1188" t="s">
        <v>859</v>
      </c>
      <c r="C959" s="1189"/>
      <c r="D959" s="1190"/>
      <c r="E959" s="354">
        <f>+P912</f>
        <v>45.8</v>
      </c>
      <c r="F959" s="317" t="s">
        <v>285</v>
      </c>
      <c r="G959" s="350">
        <v>431</v>
      </c>
      <c r="H959" s="252" t="s">
        <v>611</v>
      </c>
      <c r="I959" s="383">
        <f>+R912</f>
        <v>0.94232233454704462</v>
      </c>
      <c r="J959" s="20"/>
      <c r="K959" s="153">
        <f>+E959*G959*I959</f>
        <v>18601.25441949175</v>
      </c>
      <c r="L959" s="20" t="s">
        <v>37</v>
      </c>
      <c r="M959" s="1146"/>
      <c r="N959" s="1103"/>
      <c r="O959"/>
      <c r="P959" s="159"/>
      <c r="Q959" s="147"/>
      <c r="T959" s="149"/>
      <c r="U959" s="38"/>
      <c r="V959" s="38"/>
      <c r="W959" s="38"/>
      <c r="X959" s="38"/>
    </row>
    <row r="960" spans="1:24" s="38" customFormat="1" ht="30" customHeight="1">
      <c r="A960" s="45" t="s">
        <v>624</v>
      </c>
      <c r="B960" s="1188" t="s">
        <v>2514</v>
      </c>
      <c r="C960" s="1189"/>
      <c r="D960" s="1190"/>
      <c r="E960" s="241">
        <f>+P889</f>
        <v>18.05</v>
      </c>
      <c r="F960" s="262" t="s">
        <v>8</v>
      </c>
      <c r="G960" s="350">
        <v>4800</v>
      </c>
      <c r="H960" s="252" t="s">
        <v>599</v>
      </c>
      <c r="I960" s="326">
        <f>+R889</f>
        <v>1.1000000000000001</v>
      </c>
      <c r="J960" s="326">
        <f>+S889</f>
        <v>0.99065420560747663</v>
      </c>
      <c r="K960" s="153">
        <f>+E960*G960*I960*J960</f>
        <v>94413.308411214966</v>
      </c>
      <c r="L960" s="20" t="s">
        <v>37</v>
      </c>
      <c r="M960" s="1146"/>
      <c r="N960" s="1103"/>
      <c r="P960" s="159"/>
      <c r="Q960" s="147"/>
      <c r="T960" s="149"/>
      <c r="U960"/>
      <c r="V960"/>
      <c r="W960"/>
      <c r="X960"/>
    </row>
    <row r="961" spans="1:24" ht="30" customHeight="1">
      <c r="A961" s="45" t="s">
        <v>538</v>
      </c>
      <c r="B961" s="1188" t="s">
        <v>873</v>
      </c>
      <c r="C961" s="1189"/>
      <c r="D961" s="1190"/>
      <c r="E961" s="241">
        <f>+P891</f>
        <v>9.15</v>
      </c>
      <c r="F961" s="262" t="s">
        <v>8</v>
      </c>
      <c r="G961" s="350">
        <f>4*144</f>
        <v>576</v>
      </c>
      <c r="H961" s="252" t="s">
        <v>599</v>
      </c>
      <c r="I961" s="326">
        <f>+R891</f>
        <v>1.05</v>
      </c>
      <c r="J961" s="326">
        <f>+S891</f>
        <v>0.99065420560747663</v>
      </c>
      <c r="K961" s="153">
        <f>+E961*G961*I961*J961</f>
        <v>5482.2011214953282</v>
      </c>
      <c r="L961" s="20" t="s">
        <v>37</v>
      </c>
      <c r="M961" s="1146"/>
      <c r="N961" s="1103"/>
      <c r="O961"/>
      <c r="P961" s="159"/>
      <c r="Q961" s="147"/>
      <c r="T961" s="149"/>
    </row>
    <row r="962" spans="1:24" ht="30" customHeight="1">
      <c r="A962" s="45" t="s">
        <v>538</v>
      </c>
      <c r="B962" s="1188" t="s">
        <v>874</v>
      </c>
      <c r="C962" s="1189"/>
      <c r="D962" s="1190"/>
      <c r="E962" s="241">
        <f>+P892</f>
        <v>11.17</v>
      </c>
      <c r="F962" s="45" t="s">
        <v>8</v>
      </c>
      <c r="G962" s="350">
        <v>2152.8000000000002</v>
      </c>
      <c r="H962" s="252" t="s">
        <v>599</v>
      </c>
      <c r="I962" s="326">
        <f>+R892</f>
        <v>1.05</v>
      </c>
      <c r="J962" s="326">
        <f>+S892</f>
        <v>0.99065420560747663</v>
      </c>
      <c r="K962" s="153">
        <f>+E962*G962*I962*J962</f>
        <v>25013.141764485983</v>
      </c>
      <c r="L962" s="20" t="s">
        <v>37</v>
      </c>
      <c r="M962" s="1146"/>
      <c r="N962" s="1103"/>
      <c r="O962"/>
      <c r="P962" s="159"/>
      <c r="Q962" s="147"/>
      <c r="T962" s="149"/>
    </row>
    <row r="963" spans="1:24" ht="30" customHeight="1">
      <c r="A963" s="45"/>
      <c r="B963" s="1307"/>
      <c r="C963" s="1307"/>
      <c r="D963" s="1307"/>
      <c r="E963" s="213"/>
      <c r="F963" s="45"/>
      <c r="G963" s="382"/>
      <c r="H963" s="264"/>
      <c r="I963" s="20"/>
      <c r="J963" s="20" t="s">
        <v>379</v>
      </c>
      <c r="K963" s="213">
        <f>SUM(K948:K960)</f>
        <v>332300.74713304994</v>
      </c>
      <c r="L963" s="45" t="s">
        <v>37</v>
      </c>
      <c r="M963" s="1146"/>
      <c r="N963" s="1103"/>
      <c r="O963"/>
      <c r="P963" s="159"/>
      <c r="Q963" s="147"/>
      <c r="T963" s="149"/>
    </row>
    <row r="964" spans="1:24" ht="30" customHeight="1" thickBot="1">
      <c r="A964" s="45"/>
      <c r="B964" s="45"/>
      <c r="C964" s="46"/>
      <c r="D964" s="46"/>
      <c r="E964" s="46"/>
      <c r="F964" s="46"/>
      <c r="G964" s="176" t="s">
        <v>312</v>
      </c>
      <c r="H964" s="46"/>
      <c r="I964" s="18"/>
      <c r="J964" s="139">
        <f>VLOOKUP(B945,'Mil Cost Premiums for RUCs'!$A$4:$R$266,18,FALSE)</f>
        <v>1.0485669999999998</v>
      </c>
      <c r="K964" s="21">
        <f>+K963*J964</f>
        <v>348439.59751906071</v>
      </c>
      <c r="L964" s="45" t="s">
        <v>37</v>
      </c>
      <c r="M964" s="1146"/>
      <c r="N964" s="1103"/>
      <c r="O964"/>
      <c r="P964" s="159"/>
      <c r="Q964" s="147"/>
      <c r="T964" s="149"/>
    </row>
    <row r="965" spans="1:24" ht="30" customHeight="1" thickBot="1">
      <c r="A965" s="1165"/>
      <c r="B965" s="1166"/>
      <c r="C965" s="1166"/>
      <c r="D965" s="1166"/>
      <c r="E965" s="1166"/>
      <c r="F965" s="1166"/>
      <c r="G965" s="1166"/>
      <c r="H965" s="1166"/>
      <c r="I965" s="1166"/>
      <c r="J965" s="1166"/>
      <c r="K965" s="1166"/>
      <c r="L965" s="1167"/>
      <c r="M965" s="1146"/>
      <c r="N965" s="1103"/>
      <c r="O965"/>
      <c r="P965" s="159"/>
      <c r="Q965" s="147"/>
      <c r="T965" s="149"/>
    </row>
    <row r="966" spans="1:24" ht="75" customHeight="1">
      <c r="A966" s="27" t="s">
        <v>280</v>
      </c>
      <c r="B966" s="28">
        <v>1783</v>
      </c>
      <c r="C966" s="1426" t="s">
        <v>875</v>
      </c>
      <c r="D966" s="1427"/>
      <c r="E966" s="30" t="s">
        <v>282</v>
      </c>
      <c r="F966" s="31" t="s">
        <v>37</v>
      </c>
      <c r="G966" s="70" t="s">
        <v>876</v>
      </c>
      <c r="H966" s="186">
        <v>1</v>
      </c>
      <c r="I966" s="30" t="s">
        <v>283</v>
      </c>
      <c r="J966" s="1199" t="s">
        <v>2611</v>
      </c>
      <c r="K966" s="1199"/>
      <c r="L966" s="1200"/>
      <c r="M966" s="1146"/>
      <c r="N966" s="1103"/>
      <c r="O966"/>
      <c r="P966" s="159"/>
      <c r="Q966" s="147"/>
      <c r="T966" s="149"/>
    </row>
    <row r="967" spans="1:24" ht="30" customHeight="1">
      <c r="A967" s="35" t="s">
        <v>597</v>
      </c>
      <c r="B967" s="1300" t="s">
        <v>330</v>
      </c>
      <c r="C967" s="1301"/>
      <c r="D967" s="1302"/>
      <c r="E967" s="362" t="s">
        <v>295</v>
      </c>
      <c r="F967" s="362" t="s">
        <v>331</v>
      </c>
      <c r="G967" s="1356" t="s">
        <v>332</v>
      </c>
      <c r="H967" s="1357"/>
      <c r="I967" s="77" t="s">
        <v>305</v>
      </c>
      <c r="J967" s="151" t="s">
        <v>308</v>
      </c>
      <c r="K967" s="1312" t="s">
        <v>297</v>
      </c>
      <c r="L967" s="1313"/>
      <c r="M967" s="1146"/>
      <c r="N967" s="1103"/>
      <c r="O967"/>
      <c r="P967" s="159"/>
      <c r="Q967" s="147"/>
      <c r="T967" s="149"/>
    </row>
    <row r="968" spans="1:24" ht="30" customHeight="1">
      <c r="A968" s="45" t="s">
        <v>538</v>
      </c>
      <c r="B968" s="1188" t="s">
        <v>877</v>
      </c>
      <c r="C968" s="1189"/>
      <c r="D968" s="1190"/>
      <c r="E968" s="241">
        <f>+P891</f>
        <v>9.15</v>
      </c>
      <c r="F968" s="262" t="s">
        <v>8</v>
      </c>
      <c r="G968" s="350">
        <v>2896</v>
      </c>
      <c r="H968" s="259" t="s">
        <v>599</v>
      </c>
      <c r="I968" s="20">
        <f>+R891</f>
        <v>1.05</v>
      </c>
      <c r="J968" s="326">
        <f>+S891</f>
        <v>0.99065420560747663</v>
      </c>
      <c r="K968" s="213">
        <f>+E968*G968*I968*J968</f>
        <v>27563.288971962622</v>
      </c>
      <c r="L968" s="45" t="s">
        <v>37</v>
      </c>
      <c r="M968" s="1146"/>
      <c r="N968" s="1103"/>
      <c r="O968"/>
      <c r="P968" s="159"/>
      <c r="Q968" s="147"/>
      <c r="T968" s="149"/>
    </row>
    <row r="969" spans="1:24" ht="30" customHeight="1">
      <c r="A969" s="45" t="s">
        <v>538</v>
      </c>
      <c r="B969" s="1176" t="s">
        <v>878</v>
      </c>
      <c r="C969" s="1177"/>
      <c r="D969" s="1178"/>
      <c r="E969" s="354">
        <f>+P892</f>
        <v>11.17</v>
      </c>
      <c r="F969" s="45" t="s">
        <v>8</v>
      </c>
      <c r="G969" s="350">
        <f>100*3*10.7639</f>
        <v>3229.17</v>
      </c>
      <c r="H969" s="259" t="s">
        <v>599</v>
      </c>
      <c r="I969" s="20">
        <f>+R892</f>
        <v>1.05</v>
      </c>
      <c r="J969" s="326">
        <f>+S892</f>
        <v>0.99065420560747663</v>
      </c>
      <c r="K969" s="213">
        <f>+E969*G969*I969*J969</f>
        <v>37519.364080093459</v>
      </c>
      <c r="L969" s="45" t="s">
        <v>37</v>
      </c>
      <c r="M969" s="1146"/>
      <c r="N969" s="1103"/>
      <c r="O969"/>
      <c r="P969" s="159"/>
      <c r="Q969" s="147"/>
      <c r="T969" s="149"/>
    </row>
    <row r="970" spans="1:24" ht="30" customHeight="1">
      <c r="A970" s="45" t="s">
        <v>538</v>
      </c>
      <c r="B970" s="1188" t="s">
        <v>879</v>
      </c>
      <c r="C970" s="1189"/>
      <c r="D970" s="1190"/>
      <c r="E970" s="354">
        <f>+P892</f>
        <v>11.17</v>
      </c>
      <c r="F970" s="45" t="s">
        <v>8</v>
      </c>
      <c r="G970" s="350">
        <v>2153</v>
      </c>
      <c r="H970" s="259" t="s">
        <v>599</v>
      </c>
      <c r="I970" s="20">
        <f>+R892</f>
        <v>1.05</v>
      </c>
      <c r="J970" s="326">
        <f>+S892</f>
        <v>0.99065420560747663</v>
      </c>
      <c r="K970" s="213">
        <f>+E970*G970*I970*J970</f>
        <v>25015.465542056078</v>
      </c>
      <c r="L970" s="45" t="s">
        <v>37</v>
      </c>
      <c r="M970" s="1146"/>
      <c r="N970" s="1103"/>
      <c r="O970"/>
      <c r="P970" s="159"/>
      <c r="Q970" s="147"/>
      <c r="T970" s="149"/>
    </row>
    <row r="971" spans="1:24" ht="30" customHeight="1">
      <c r="A971" s="45">
        <v>93410</v>
      </c>
      <c r="B971" s="1188" t="s">
        <v>880</v>
      </c>
      <c r="C971" s="1189"/>
      <c r="D971" s="1190"/>
      <c r="E971" s="354">
        <f>+P910</f>
        <v>8.1999999999999993</v>
      </c>
      <c r="F971" s="317" t="s">
        <v>285</v>
      </c>
      <c r="G971" s="350">
        <v>2040</v>
      </c>
      <c r="H971" s="252" t="s">
        <v>611</v>
      </c>
      <c r="I971" s="386">
        <f>+R910</f>
        <v>0.94232233454704462</v>
      </c>
      <c r="J971" s="20"/>
      <c r="K971" s="213">
        <f>+E971*G971*I971</f>
        <v>15763.168012302962</v>
      </c>
      <c r="L971" s="45" t="s">
        <v>37</v>
      </c>
      <c r="M971" s="1146"/>
      <c r="N971" s="1103"/>
      <c r="O971"/>
      <c r="P971" s="159"/>
      <c r="Q971" s="147"/>
      <c r="T971" s="149"/>
    </row>
    <row r="972" spans="1:24" ht="30" customHeight="1">
      <c r="A972" s="45"/>
      <c r="B972" s="1307"/>
      <c r="C972" s="1307"/>
      <c r="D972" s="1307"/>
      <c r="E972" s="213"/>
      <c r="F972" s="45"/>
      <c r="G972" s="382"/>
      <c r="H972" s="264"/>
      <c r="I972" s="20"/>
      <c r="J972" s="20" t="s">
        <v>379</v>
      </c>
      <c r="K972" s="213">
        <f>SUM(K968:K969)</f>
        <v>65082.653052056077</v>
      </c>
      <c r="L972" s="45" t="s">
        <v>37</v>
      </c>
      <c r="M972" s="1146"/>
      <c r="N972" s="1103"/>
      <c r="O972"/>
      <c r="P972" s="159"/>
      <c r="Q972" s="147"/>
      <c r="T972" s="149"/>
    </row>
    <row r="973" spans="1:24" ht="30" customHeight="1" thickBot="1">
      <c r="A973" s="45"/>
      <c r="B973" s="45"/>
      <c r="C973" s="46"/>
      <c r="D973" s="46"/>
      <c r="E973" s="46"/>
      <c r="F973" s="46"/>
      <c r="G973" s="176" t="s">
        <v>312</v>
      </c>
      <c r="H973" s="46"/>
      <c r="I973" s="18"/>
      <c r="J973" s="139">
        <f>VLOOKUP(B966,'Mil Cost Premiums for RUCs'!$A$4:$R$266,18,FALSE)</f>
        <v>1.0485669999999998</v>
      </c>
      <c r="K973" s="21">
        <f>+K972*J973</f>
        <v>68243.522262835279</v>
      </c>
      <c r="L973" s="45" t="s">
        <v>37</v>
      </c>
      <c r="M973" s="1146"/>
      <c r="N973" s="1103"/>
      <c r="O973"/>
      <c r="P973" s="159"/>
      <c r="Q973" s="147"/>
      <c r="T973" s="149"/>
    </row>
    <row r="974" spans="1:24" ht="30" customHeight="1" thickBot="1">
      <c r="A974" s="1165"/>
      <c r="B974" s="1166"/>
      <c r="C974" s="1166"/>
      <c r="D974" s="1166"/>
      <c r="E974" s="1166"/>
      <c r="F974" s="1166"/>
      <c r="G974" s="1166"/>
      <c r="H974" s="1166"/>
      <c r="I974" s="1166"/>
      <c r="J974" s="1166"/>
      <c r="K974" s="1166"/>
      <c r="L974" s="1167"/>
      <c r="M974" s="1146"/>
      <c r="N974" s="1103"/>
      <c r="O974"/>
      <c r="P974" s="159"/>
      <c r="Q974" s="147"/>
      <c r="T974" s="149"/>
    </row>
    <row r="975" spans="1:24" ht="75" customHeight="1">
      <c r="A975" s="27" t="s">
        <v>280</v>
      </c>
      <c r="B975" s="28">
        <v>1790</v>
      </c>
      <c r="C975" s="1426" t="s">
        <v>881</v>
      </c>
      <c r="D975" s="1427"/>
      <c r="E975" s="30" t="s">
        <v>282</v>
      </c>
      <c r="F975" s="31" t="s">
        <v>10</v>
      </c>
      <c r="G975" s="70" t="s">
        <v>868</v>
      </c>
      <c r="H975" s="186">
        <v>1</v>
      </c>
      <c r="I975" s="30" t="s">
        <v>283</v>
      </c>
      <c r="J975" s="1199" t="s">
        <v>2611</v>
      </c>
      <c r="K975" s="1199"/>
      <c r="L975" s="1200"/>
      <c r="M975" s="1146"/>
      <c r="N975" s="1103"/>
      <c r="O975"/>
      <c r="P975" s="159"/>
      <c r="Q975" s="147"/>
      <c r="T975" s="149"/>
      <c r="U975" s="38"/>
      <c r="V975" s="38"/>
      <c r="W975" s="38"/>
      <c r="X975" s="38"/>
    </row>
    <row r="976" spans="1:24" s="38" customFormat="1" ht="30" customHeight="1">
      <c r="A976" s="35" t="s">
        <v>597</v>
      </c>
      <c r="B976" s="1201" t="s">
        <v>330</v>
      </c>
      <c r="C976" s="1202"/>
      <c r="D976" s="1203"/>
      <c r="E976" s="150" t="s">
        <v>295</v>
      </c>
      <c r="F976" s="150" t="s">
        <v>331</v>
      </c>
      <c r="G976" s="1204" t="s">
        <v>332</v>
      </c>
      <c r="H976" s="1205"/>
      <c r="I976" s="77" t="s">
        <v>305</v>
      </c>
      <c r="J976" s="151" t="s">
        <v>308</v>
      </c>
      <c r="K976" s="1312" t="s">
        <v>297</v>
      </c>
      <c r="L976" s="1313"/>
      <c r="M976" s="1146"/>
      <c r="N976" s="1103"/>
      <c r="P976" s="159"/>
      <c r="Q976" s="147"/>
      <c r="T976" s="149"/>
      <c r="U976"/>
      <c r="V976"/>
      <c r="W976"/>
      <c r="X976"/>
    </row>
    <row r="977" spans="1:24" ht="30" customHeight="1">
      <c r="A977" s="35"/>
      <c r="B977" s="1176" t="s">
        <v>882</v>
      </c>
      <c r="C977" s="1431"/>
      <c r="D977" s="1432"/>
      <c r="E977" s="150"/>
      <c r="F977" s="150"/>
      <c r="G977" s="347"/>
      <c r="H977" s="348"/>
      <c r="I977" s="77"/>
      <c r="J977" s="151"/>
      <c r="K977" s="409"/>
      <c r="L977" s="410"/>
      <c r="M977" s="1146"/>
      <c r="N977" s="1103"/>
      <c r="O977"/>
      <c r="P977" s="159"/>
      <c r="Q977" s="147"/>
      <c r="T977" s="149"/>
    </row>
    <row r="978" spans="1:24" ht="30" customHeight="1">
      <c r="A978" s="45" t="s">
        <v>538</v>
      </c>
      <c r="B978" s="1176" t="s">
        <v>883</v>
      </c>
      <c r="C978" s="1177"/>
      <c r="D978" s="1178"/>
      <c r="E978" s="354">
        <f>+P891</f>
        <v>9.15</v>
      </c>
      <c r="F978" s="20" t="s">
        <v>8</v>
      </c>
      <c r="G978" s="350">
        <f>6*62</f>
        <v>372</v>
      </c>
      <c r="H978" s="252" t="s">
        <v>741</v>
      </c>
      <c r="I978" s="326">
        <f>+R891</f>
        <v>1.05</v>
      </c>
      <c r="J978" s="326">
        <f>+S891</f>
        <v>0.99065420560747663</v>
      </c>
      <c r="K978" s="213">
        <f t="shared" ref="K978:K985" si="26">+E978*G978*I978*J978</f>
        <v>3540.5882242990656</v>
      </c>
      <c r="L978" s="45" t="s">
        <v>10</v>
      </c>
      <c r="M978" s="1146"/>
      <c r="N978" s="1103"/>
      <c r="O978"/>
      <c r="P978" s="159"/>
      <c r="Q978" s="147"/>
      <c r="T978" s="149"/>
    </row>
    <row r="979" spans="1:24" ht="30" customHeight="1">
      <c r="A979" s="45" t="s">
        <v>600</v>
      </c>
      <c r="B979" s="1176" t="s">
        <v>601</v>
      </c>
      <c r="C979" s="1177"/>
      <c r="D979" s="1178"/>
      <c r="E979" s="354">
        <f>+P895</f>
        <v>439.5</v>
      </c>
      <c r="F979" s="317" t="s">
        <v>10</v>
      </c>
      <c r="G979" s="350">
        <v>6</v>
      </c>
      <c r="H979" s="252" t="s">
        <v>742</v>
      </c>
      <c r="I979" s="326">
        <f>+R895</f>
        <v>1.07</v>
      </c>
      <c r="J979" s="326">
        <f>+S895</f>
        <v>0.99065420560747663</v>
      </c>
      <c r="K979" s="213">
        <f t="shared" si="26"/>
        <v>2795.2200000000003</v>
      </c>
      <c r="L979" s="45" t="s">
        <v>10</v>
      </c>
      <c r="M979" s="1146"/>
      <c r="N979" s="1103"/>
      <c r="O979"/>
      <c r="P979" s="159"/>
      <c r="Q979" s="147"/>
      <c r="T979" s="149"/>
    </row>
    <row r="980" spans="1:24" ht="30" customHeight="1">
      <c r="A980" s="45" t="s">
        <v>600</v>
      </c>
      <c r="B980" s="1176" t="s">
        <v>603</v>
      </c>
      <c r="C980" s="1177"/>
      <c r="D980" s="1178"/>
      <c r="E980" s="354">
        <f>+P897</f>
        <v>316</v>
      </c>
      <c r="F980" s="317" t="s">
        <v>10</v>
      </c>
      <c r="G980" s="350">
        <v>6</v>
      </c>
      <c r="H980" s="252" t="s">
        <v>742</v>
      </c>
      <c r="I980" s="326">
        <f>+R897</f>
        <v>1.07</v>
      </c>
      <c r="J980" s="326">
        <f>+S897</f>
        <v>0.99065420560747663</v>
      </c>
      <c r="K980" s="213">
        <f t="shared" si="26"/>
        <v>2009.76</v>
      </c>
      <c r="L980" s="45" t="s">
        <v>10</v>
      </c>
      <c r="M980" s="1146"/>
      <c r="N980" s="1103"/>
      <c r="O980"/>
      <c r="P980" s="159"/>
      <c r="Q980" s="147"/>
      <c r="T980" s="149"/>
    </row>
    <row r="981" spans="1:24" ht="30" customHeight="1">
      <c r="A981" s="45" t="s">
        <v>538</v>
      </c>
      <c r="B981" s="1176" t="s">
        <v>884</v>
      </c>
      <c r="C981" s="1177"/>
      <c r="D981" s="1178"/>
      <c r="E981" s="354">
        <f>+P892</f>
        <v>11.17</v>
      </c>
      <c r="F981" s="20" t="s">
        <v>8</v>
      </c>
      <c r="G981" s="350">
        <f>2*468</f>
        <v>936</v>
      </c>
      <c r="H981" s="252" t="s">
        <v>741</v>
      </c>
      <c r="I981" s="326">
        <f>+R892</f>
        <v>1.05</v>
      </c>
      <c r="J981" s="326">
        <f>+S892</f>
        <v>0.99065420560747663</v>
      </c>
      <c r="K981" s="213">
        <f t="shared" si="26"/>
        <v>10875.279028037385</v>
      </c>
      <c r="L981" s="45" t="s">
        <v>10</v>
      </c>
      <c r="M981" s="1146"/>
      <c r="N981" s="1103"/>
      <c r="O981"/>
      <c r="P981" s="159"/>
      <c r="Q981" s="147"/>
      <c r="T981" s="149"/>
    </row>
    <row r="982" spans="1:24" ht="30" customHeight="1">
      <c r="A982" s="45" t="s">
        <v>600</v>
      </c>
      <c r="B982" s="1176" t="s">
        <v>635</v>
      </c>
      <c r="C982" s="1177"/>
      <c r="D982" s="1178"/>
      <c r="E982" s="354">
        <f>+P896</f>
        <v>800</v>
      </c>
      <c r="F982" s="317" t="s">
        <v>10</v>
      </c>
      <c r="G982" s="350">
        <v>2</v>
      </c>
      <c r="H982" s="252" t="s">
        <v>742</v>
      </c>
      <c r="I982" s="326">
        <f>+R896</f>
        <v>1.07</v>
      </c>
      <c r="J982" s="326">
        <f>+S896</f>
        <v>0.99065420560747663</v>
      </c>
      <c r="K982" s="213">
        <f t="shared" si="26"/>
        <v>1696</v>
      </c>
      <c r="L982" s="45" t="s">
        <v>10</v>
      </c>
      <c r="M982" s="1146"/>
      <c r="N982" s="1103"/>
      <c r="O982"/>
      <c r="P982" s="159"/>
      <c r="Q982" s="147"/>
      <c r="T982" s="149"/>
    </row>
    <row r="983" spans="1:24" ht="30" customHeight="1">
      <c r="A983" s="45" t="s">
        <v>600</v>
      </c>
      <c r="B983" s="1176" t="s">
        <v>685</v>
      </c>
      <c r="C983" s="1177"/>
      <c r="D983" s="1178"/>
      <c r="E983" s="354">
        <f>+P899</f>
        <v>985</v>
      </c>
      <c r="F983" s="317" t="s">
        <v>10</v>
      </c>
      <c r="G983" s="350">
        <v>2</v>
      </c>
      <c r="H983" s="252" t="s">
        <v>742</v>
      </c>
      <c r="I983" s="326">
        <f t="shared" ref="I983:J985" si="27">+R899</f>
        <v>1.07</v>
      </c>
      <c r="J983" s="326">
        <f t="shared" si="27"/>
        <v>0.99065420560747663</v>
      </c>
      <c r="K983" s="213">
        <f t="shared" si="26"/>
        <v>2088.2000000000003</v>
      </c>
      <c r="L983" s="45" t="s">
        <v>10</v>
      </c>
      <c r="M983" s="1146"/>
      <c r="N983" s="1103"/>
      <c r="O983"/>
      <c r="P983" s="159"/>
      <c r="Q983" s="147"/>
      <c r="T983" s="149"/>
    </row>
    <row r="984" spans="1:24" ht="30" customHeight="1">
      <c r="A984" s="45" t="s">
        <v>604</v>
      </c>
      <c r="B984" s="1224" t="s">
        <v>885</v>
      </c>
      <c r="C984" s="1224"/>
      <c r="D984" s="1224"/>
      <c r="E984" s="354">
        <f>+P900</f>
        <v>137.85</v>
      </c>
      <c r="F984" s="317" t="s">
        <v>10</v>
      </c>
      <c r="G984" s="350">
        <f>6*4+2*5</f>
        <v>34</v>
      </c>
      <c r="H984" s="252" t="s">
        <v>742</v>
      </c>
      <c r="I984" s="326">
        <f t="shared" si="27"/>
        <v>1.07</v>
      </c>
      <c r="J984" s="326">
        <f t="shared" si="27"/>
        <v>0.99065420560747663</v>
      </c>
      <c r="K984" s="213">
        <f t="shared" si="26"/>
        <v>4968.1140000000005</v>
      </c>
      <c r="L984" s="45" t="s">
        <v>10</v>
      </c>
      <c r="M984" s="1146"/>
      <c r="N984" s="1103"/>
      <c r="O984"/>
      <c r="P984" s="159"/>
      <c r="Q984" s="147"/>
      <c r="T984" s="149"/>
    </row>
    <row r="985" spans="1:24" ht="30" customHeight="1">
      <c r="A985" s="45" t="s">
        <v>606</v>
      </c>
      <c r="B985" s="1176" t="s">
        <v>622</v>
      </c>
      <c r="C985" s="1177"/>
      <c r="D985" s="1178"/>
      <c r="E985" s="354">
        <f>+P901</f>
        <v>17.110000000000003</v>
      </c>
      <c r="F985" s="317" t="s">
        <v>6</v>
      </c>
      <c r="G985" s="350">
        <v>905</v>
      </c>
      <c r="H985" s="252" t="s">
        <v>745</v>
      </c>
      <c r="I985" s="326">
        <f t="shared" si="27"/>
        <v>1.07</v>
      </c>
      <c r="J985" s="326">
        <f t="shared" si="27"/>
        <v>0.99065420560747663</v>
      </c>
      <c r="K985" s="213">
        <f t="shared" si="26"/>
        <v>16413.623000000003</v>
      </c>
      <c r="L985" s="45" t="s">
        <v>10</v>
      </c>
      <c r="M985" s="1146"/>
      <c r="N985" s="1103"/>
      <c r="O985"/>
      <c r="P985" s="159"/>
      <c r="Q985" s="147"/>
      <c r="T985" s="149"/>
    </row>
    <row r="986" spans="1:24" ht="30" customHeight="1">
      <c r="A986" s="45">
        <v>93410</v>
      </c>
      <c r="B986" s="1176" t="s">
        <v>886</v>
      </c>
      <c r="C986" s="1177"/>
      <c r="D986" s="1178"/>
      <c r="E986" s="241">
        <f>+P911</f>
        <v>1.1000000000000001</v>
      </c>
      <c r="F986" s="317" t="s">
        <v>3</v>
      </c>
      <c r="G986" s="350">
        <v>1913</v>
      </c>
      <c r="H986" s="252" t="s">
        <v>746</v>
      </c>
      <c r="I986" s="383">
        <f>+R911</f>
        <v>0.94232233454704462</v>
      </c>
      <c r="J986" s="20"/>
      <c r="K986" s="213">
        <f>+E986*G986*I986</f>
        <v>1982.9288885873461</v>
      </c>
      <c r="L986" s="45" t="s">
        <v>10</v>
      </c>
      <c r="M986" s="1146"/>
      <c r="N986" s="1103"/>
      <c r="O986"/>
      <c r="P986" s="159"/>
      <c r="Q986" s="147"/>
      <c r="T986" s="149"/>
    </row>
    <row r="987" spans="1:24" ht="30" customHeight="1">
      <c r="A987" s="45">
        <v>93410</v>
      </c>
      <c r="B987" s="1176" t="s">
        <v>887</v>
      </c>
      <c r="C987" s="1177"/>
      <c r="D987" s="1178"/>
      <c r="E987" s="354">
        <f>+P910</f>
        <v>8.1999999999999993</v>
      </c>
      <c r="F987" s="317" t="s">
        <v>285</v>
      </c>
      <c r="G987" s="350">
        <v>1046</v>
      </c>
      <c r="H987" s="252" t="s">
        <v>749</v>
      </c>
      <c r="I987" s="383">
        <f>+R910</f>
        <v>0.94232233454704462</v>
      </c>
      <c r="J987" s="20"/>
      <c r="K987" s="213">
        <f>+E987*G987*I987</f>
        <v>8082.4871278769097</v>
      </c>
      <c r="L987" s="45" t="s">
        <v>10</v>
      </c>
      <c r="M987" s="1146"/>
      <c r="N987" s="1103"/>
      <c r="O987"/>
      <c r="P987" s="159"/>
      <c r="Q987" s="147"/>
      <c r="T987" s="149"/>
      <c r="U987" s="38"/>
      <c r="V987" s="38"/>
      <c r="W987" s="38"/>
      <c r="X987" s="38"/>
    </row>
    <row r="988" spans="1:24" s="38" customFormat="1" ht="30" customHeight="1">
      <c r="A988" s="45">
        <v>93210</v>
      </c>
      <c r="B988" s="1176" t="s">
        <v>888</v>
      </c>
      <c r="C988" s="1177"/>
      <c r="D988" s="1178"/>
      <c r="E988" s="354">
        <f>+P912</f>
        <v>45.8</v>
      </c>
      <c r="F988" s="317" t="s">
        <v>285</v>
      </c>
      <c r="G988" s="350">
        <v>628</v>
      </c>
      <c r="H988" s="252" t="s">
        <v>749</v>
      </c>
      <c r="I988" s="383">
        <f>+R912</f>
        <v>0.94232233454704462</v>
      </c>
      <c r="J988" s="20"/>
      <c r="K988" s="213">
        <f>+E988*G988*I988</f>
        <v>27103.451915175912</v>
      </c>
      <c r="L988" s="45" t="s">
        <v>10</v>
      </c>
      <c r="M988" s="1146"/>
      <c r="N988" s="1103"/>
      <c r="P988" s="159"/>
      <c r="Q988" s="147"/>
      <c r="T988" s="149"/>
      <c r="U988"/>
      <c r="V988"/>
      <c r="W988"/>
      <c r="X988"/>
    </row>
    <row r="989" spans="1:24" ht="30" customHeight="1">
      <c r="A989" s="45" t="s">
        <v>624</v>
      </c>
      <c r="B989" s="1188" t="s">
        <v>872</v>
      </c>
      <c r="C989" s="1189"/>
      <c r="D989" s="1190"/>
      <c r="E989" s="241">
        <f>+P889</f>
        <v>18.05</v>
      </c>
      <c r="F989" s="262" t="s">
        <v>8</v>
      </c>
      <c r="G989" s="350">
        <v>800</v>
      </c>
      <c r="H989" s="259" t="s">
        <v>741</v>
      </c>
      <c r="I989" s="326">
        <f>+R889</f>
        <v>1.1000000000000001</v>
      </c>
      <c r="J989" s="326">
        <f>+S889</f>
        <v>0.99065420560747663</v>
      </c>
      <c r="K989" s="213">
        <f>+E989*G989*I989*J989</f>
        <v>15735.551401869161</v>
      </c>
      <c r="L989" s="45" t="s">
        <v>10</v>
      </c>
      <c r="M989" s="1146"/>
      <c r="N989" s="1103"/>
      <c r="O989"/>
      <c r="P989" s="159"/>
      <c r="Q989" s="147"/>
      <c r="T989" s="149"/>
    </row>
    <row r="990" spans="1:24" ht="30" customHeight="1">
      <c r="A990" s="45" t="s">
        <v>538</v>
      </c>
      <c r="B990" s="1188" t="s">
        <v>889</v>
      </c>
      <c r="C990" s="1189"/>
      <c r="D990" s="1190"/>
      <c r="E990" s="241">
        <f>+P891</f>
        <v>9.15</v>
      </c>
      <c r="F990" s="262" t="s">
        <v>8</v>
      </c>
      <c r="G990" s="350">
        <f>2*144</f>
        <v>288</v>
      </c>
      <c r="H990" s="252" t="s">
        <v>741</v>
      </c>
      <c r="I990" s="20">
        <f>+R891</f>
        <v>1.05</v>
      </c>
      <c r="J990" s="326">
        <f>+S891</f>
        <v>0.99065420560747663</v>
      </c>
      <c r="K990" s="213">
        <f>+E990*G990*I990*J990</f>
        <v>2741.1005607476641</v>
      </c>
      <c r="L990" s="45" t="s">
        <v>10</v>
      </c>
      <c r="M990" s="1146"/>
      <c r="N990" s="1103"/>
      <c r="O990"/>
      <c r="P990" s="159"/>
      <c r="Q990" s="147"/>
      <c r="T990" s="149"/>
    </row>
    <row r="991" spans="1:24" ht="30" customHeight="1">
      <c r="A991" s="45"/>
      <c r="B991" s="1433" t="s">
        <v>2619</v>
      </c>
      <c r="C991" s="1434"/>
      <c r="D991" s="1435"/>
      <c r="E991" s="213"/>
      <c r="F991" s="45"/>
      <c r="G991" s="395"/>
      <c r="H991" s="329"/>
      <c r="I991" s="20"/>
      <c r="J991" s="20" t="s">
        <v>379</v>
      </c>
      <c r="K991" s="213">
        <f>SUM(K978:K990)</f>
        <v>100032.30414659345</v>
      </c>
      <c r="L991" s="45" t="s">
        <v>10</v>
      </c>
      <c r="M991" s="1146"/>
      <c r="N991" s="1103"/>
      <c r="O991"/>
      <c r="P991" s="159"/>
      <c r="Q991" s="147"/>
      <c r="T991" s="149"/>
    </row>
    <row r="992" spans="1:24" ht="30" customHeight="1" thickBot="1">
      <c r="A992" s="45"/>
      <c r="B992" s="411"/>
      <c r="C992" s="412"/>
      <c r="D992" s="413"/>
      <c r="E992" s="46"/>
      <c r="F992" s="46"/>
      <c r="G992" s="160" t="s">
        <v>312</v>
      </c>
      <c r="H992" s="18"/>
      <c r="I992" s="18"/>
      <c r="J992" s="139">
        <f>VLOOKUP(B975,'Mil Cost Premiums for RUCs'!$A$4:$R$266,18,FALSE)</f>
        <v>1.0485669999999998</v>
      </c>
      <c r="K992" s="21">
        <f>+K991*J992</f>
        <v>104890.57306208104</v>
      </c>
      <c r="L992" s="45" t="s">
        <v>10</v>
      </c>
      <c r="M992" s="1146"/>
      <c r="N992" s="1103"/>
      <c r="O992"/>
      <c r="P992" s="159"/>
      <c r="Q992" s="147"/>
      <c r="T992" s="149"/>
    </row>
    <row r="993" spans="1:24" ht="30" customHeight="1" thickBot="1">
      <c r="A993" s="1165"/>
      <c r="B993" s="1166"/>
      <c r="C993" s="1166"/>
      <c r="D993" s="1166"/>
      <c r="E993" s="1166"/>
      <c r="F993" s="1166"/>
      <c r="G993" s="1166"/>
      <c r="H993" s="1166"/>
      <c r="I993" s="1166"/>
      <c r="J993" s="1166"/>
      <c r="K993" s="1166"/>
      <c r="L993" s="1167"/>
      <c r="M993" s="1146"/>
      <c r="N993" s="1103"/>
      <c r="O993"/>
      <c r="P993" s="159"/>
      <c r="Q993" s="147"/>
      <c r="T993" s="149"/>
    </row>
    <row r="994" spans="1:24" ht="75" customHeight="1">
      <c r="A994" s="27" t="s">
        <v>280</v>
      </c>
      <c r="B994" s="28">
        <v>1791</v>
      </c>
      <c r="C994" s="1426" t="s">
        <v>890</v>
      </c>
      <c r="D994" s="1427"/>
      <c r="E994" s="30" t="s">
        <v>282</v>
      </c>
      <c r="F994" s="31" t="s">
        <v>10</v>
      </c>
      <c r="G994" s="70" t="s">
        <v>891</v>
      </c>
      <c r="H994" s="186">
        <v>1</v>
      </c>
      <c r="I994" s="30" t="s">
        <v>283</v>
      </c>
      <c r="J994" s="1199" t="s">
        <v>2611</v>
      </c>
      <c r="K994" s="1199"/>
      <c r="L994" s="1200"/>
      <c r="M994" s="1146"/>
      <c r="N994" s="1103"/>
      <c r="O994"/>
      <c r="P994" s="159"/>
      <c r="Q994" s="147"/>
      <c r="T994" s="149"/>
    </row>
    <row r="995" spans="1:24" ht="30" customHeight="1">
      <c r="A995" s="35" t="s">
        <v>597</v>
      </c>
      <c r="B995" s="1300" t="s">
        <v>330</v>
      </c>
      <c r="C995" s="1301"/>
      <c r="D995" s="1302"/>
      <c r="E995" s="150" t="s">
        <v>295</v>
      </c>
      <c r="F995" s="150" t="s">
        <v>331</v>
      </c>
      <c r="G995" s="1204" t="s">
        <v>332</v>
      </c>
      <c r="H995" s="1205"/>
      <c r="I995" s="77" t="s">
        <v>305</v>
      </c>
      <c r="J995" s="151" t="s">
        <v>308</v>
      </c>
      <c r="K995" s="1312" t="s">
        <v>297</v>
      </c>
      <c r="L995" s="1313"/>
      <c r="M995" s="1146"/>
      <c r="N995" s="1103"/>
      <c r="O995"/>
      <c r="P995" s="159"/>
      <c r="Q995" s="147"/>
      <c r="T995" s="149"/>
    </row>
    <row r="996" spans="1:24" ht="30" customHeight="1">
      <c r="A996" s="35"/>
      <c r="B996" s="1383" t="s">
        <v>892</v>
      </c>
      <c r="C996" s="1384"/>
      <c r="D996" s="1385"/>
      <c r="E996" s="150"/>
      <c r="F996" s="150"/>
      <c r="G996" s="347"/>
      <c r="H996" s="348"/>
      <c r="I996" s="244"/>
      <c r="J996" s="244"/>
      <c r="K996" s="362"/>
      <c r="L996" s="362"/>
      <c r="M996" s="1146"/>
      <c r="N996" s="1103"/>
      <c r="O996"/>
      <c r="P996" s="159"/>
      <c r="Q996" s="147"/>
      <c r="T996" s="149"/>
    </row>
    <row r="997" spans="1:24" ht="30" customHeight="1">
      <c r="A997" s="45" t="s">
        <v>538</v>
      </c>
      <c r="B997" s="1188" t="s">
        <v>893</v>
      </c>
      <c r="C997" s="1189"/>
      <c r="D997" s="1190"/>
      <c r="E997" s="354">
        <f>+P891</f>
        <v>9.15</v>
      </c>
      <c r="F997" s="20" t="s">
        <v>8</v>
      </c>
      <c r="G997" s="350">
        <f>8*62</f>
        <v>496</v>
      </c>
      <c r="H997" s="252" t="s">
        <v>741</v>
      </c>
      <c r="I997" s="326">
        <f>+R891</f>
        <v>1.05</v>
      </c>
      <c r="J997" s="326">
        <f>+S891</f>
        <v>0.99065420560747663</v>
      </c>
      <c r="K997" s="213">
        <f t="shared" ref="K997:K1004" si="28">+E997*G997*I997*J997</f>
        <v>4720.7842990654208</v>
      </c>
      <c r="L997" s="45" t="s">
        <v>10</v>
      </c>
      <c r="M997" s="1146"/>
      <c r="N997" s="1103"/>
      <c r="O997"/>
      <c r="P997" s="159"/>
      <c r="Q997" s="147"/>
      <c r="T997" s="149"/>
    </row>
    <row r="998" spans="1:24" ht="30" customHeight="1">
      <c r="A998" s="45" t="s">
        <v>600</v>
      </c>
      <c r="B998" s="1188" t="s">
        <v>601</v>
      </c>
      <c r="C998" s="1189"/>
      <c r="D998" s="1190"/>
      <c r="E998" s="354">
        <f>+P895</f>
        <v>439.5</v>
      </c>
      <c r="F998" s="317" t="s">
        <v>10</v>
      </c>
      <c r="G998" s="350">
        <v>8</v>
      </c>
      <c r="H998" s="252" t="s">
        <v>742</v>
      </c>
      <c r="I998" s="326">
        <f>+R895</f>
        <v>1.07</v>
      </c>
      <c r="J998" s="326">
        <f>+S895</f>
        <v>0.99065420560747663</v>
      </c>
      <c r="K998" s="213">
        <f t="shared" si="28"/>
        <v>3726.9600000000005</v>
      </c>
      <c r="L998" s="45" t="s">
        <v>10</v>
      </c>
      <c r="M998" s="1146"/>
      <c r="N998" s="1103"/>
      <c r="O998"/>
      <c r="P998" s="159"/>
      <c r="Q998" s="147"/>
      <c r="T998" s="149"/>
    </row>
    <row r="999" spans="1:24" ht="30" customHeight="1">
      <c r="A999" s="45" t="s">
        <v>600</v>
      </c>
      <c r="B999" s="1188" t="s">
        <v>603</v>
      </c>
      <c r="C999" s="1189"/>
      <c r="D999" s="1190"/>
      <c r="E999" s="354">
        <f>+P897</f>
        <v>316</v>
      </c>
      <c r="F999" s="317" t="s">
        <v>10</v>
      </c>
      <c r="G999" s="350">
        <v>8</v>
      </c>
      <c r="H999" s="252" t="s">
        <v>742</v>
      </c>
      <c r="I999" s="326">
        <f>+R897</f>
        <v>1.07</v>
      </c>
      <c r="J999" s="326">
        <f>+S897</f>
        <v>0.99065420560747663</v>
      </c>
      <c r="K999" s="213">
        <f t="shared" si="28"/>
        <v>2679.68</v>
      </c>
      <c r="L999" s="45" t="s">
        <v>10</v>
      </c>
      <c r="M999" s="1146"/>
      <c r="N999" s="1103"/>
      <c r="O999"/>
      <c r="P999" s="159"/>
      <c r="Q999" s="147"/>
      <c r="T999" s="149"/>
    </row>
    <row r="1000" spans="1:24" ht="30" customHeight="1">
      <c r="A1000" s="45" t="s">
        <v>538</v>
      </c>
      <c r="B1000" s="1188" t="s">
        <v>894</v>
      </c>
      <c r="C1000" s="1189"/>
      <c r="D1000" s="1190"/>
      <c r="E1000" s="354">
        <f>+P892</f>
        <v>11.17</v>
      </c>
      <c r="F1000" s="20" t="s">
        <v>8</v>
      </c>
      <c r="G1000" s="350">
        <f>8*468</f>
        <v>3744</v>
      </c>
      <c r="H1000" s="252" t="s">
        <v>741</v>
      </c>
      <c r="I1000" s="326">
        <f>+R892</f>
        <v>1.05</v>
      </c>
      <c r="J1000" s="326">
        <f>+S892</f>
        <v>0.99065420560747663</v>
      </c>
      <c r="K1000" s="213">
        <f t="shared" si="28"/>
        <v>43501.116112149539</v>
      </c>
      <c r="L1000" s="45" t="s">
        <v>10</v>
      </c>
      <c r="M1000" s="1146"/>
      <c r="N1000" s="1103"/>
      <c r="O1000"/>
      <c r="P1000" s="159"/>
      <c r="Q1000" s="147"/>
      <c r="T1000" s="149"/>
    </row>
    <row r="1001" spans="1:24" ht="30" customHeight="1">
      <c r="A1001" s="45" t="s">
        <v>600</v>
      </c>
      <c r="B1001" s="1188" t="s">
        <v>635</v>
      </c>
      <c r="C1001" s="1189"/>
      <c r="D1001" s="1190"/>
      <c r="E1001" s="354">
        <f>+P896</f>
        <v>800</v>
      </c>
      <c r="F1001" s="317" t="s">
        <v>10</v>
      </c>
      <c r="G1001" s="350">
        <v>8</v>
      </c>
      <c r="H1001" s="252" t="s">
        <v>742</v>
      </c>
      <c r="I1001" s="326">
        <f>+R896</f>
        <v>1.07</v>
      </c>
      <c r="J1001" s="326">
        <f>+S896</f>
        <v>0.99065420560747663</v>
      </c>
      <c r="K1001" s="213">
        <f t="shared" si="28"/>
        <v>6784</v>
      </c>
      <c r="L1001" s="45" t="s">
        <v>10</v>
      </c>
      <c r="M1001" s="1146"/>
      <c r="N1001" s="1103"/>
      <c r="O1001"/>
      <c r="P1001" s="159"/>
      <c r="Q1001" s="147"/>
      <c r="T1001" s="149"/>
    </row>
    <row r="1002" spans="1:24" ht="30" customHeight="1">
      <c r="A1002" s="45" t="s">
        <v>600</v>
      </c>
      <c r="B1002" s="1188" t="s">
        <v>685</v>
      </c>
      <c r="C1002" s="1189"/>
      <c r="D1002" s="1190"/>
      <c r="E1002" s="354">
        <f>+P899</f>
        <v>985</v>
      </c>
      <c r="F1002" s="317" t="s">
        <v>10</v>
      </c>
      <c r="G1002" s="350">
        <v>8</v>
      </c>
      <c r="H1002" s="252" t="s">
        <v>742</v>
      </c>
      <c r="I1002" s="326">
        <f t="shared" ref="I1002:J1004" si="29">+R899</f>
        <v>1.07</v>
      </c>
      <c r="J1002" s="326">
        <f t="shared" si="29"/>
        <v>0.99065420560747663</v>
      </c>
      <c r="K1002" s="213">
        <f t="shared" si="28"/>
        <v>8352.8000000000011</v>
      </c>
      <c r="L1002" s="45" t="s">
        <v>10</v>
      </c>
      <c r="M1002" s="1146"/>
      <c r="N1002" s="1103"/>
      <c r="O1002"/>
      <c r="P1002" s="159"/>
      <c r="Q1002" s="147"/>
      <c r="T1002" s="149"/>
    </row>
    <row r="1003" spans="1:24" ht="30" customHeight="1">
      <c r="A1003" s="45" t="s">
        <v>604</v>
      </c>
      <c r="B1003" s="1307" t="s">
        <v>760</v>
      </c>
      <c r="C1003" s="1307"/>
      <c r="D1003" s="1307"/>
      <c r="E1003" s="354">
        <f>+P900</f>
        <v>137.85</v>
      </c>
      <c r="F1003" s="317" t="s">
        <v>10</v>
      </c>
      <c r="G1003" s="350">
        <v>72</v>
      </c>
      <c r="H1003" s="252" t="s">
        <v>742</v>
      </c>
      <c r="I1003" s="326">
        <f t="shared" si="29"/>
        <v>1.07</v>
      </c>
      <c r="J1003" s="326">
        <f t="shared" si="29"/>
        <v>0.99065420560747663</v>
      </c>
      <c r="K1003" s="213">
        <f t="shared" si="28"/>
        <v>10520.712</v>
      </c>
      <c r="L1003" s="45" t="s">
        <v>10</v>
      </c>
      <c r="M1003" s="1146"/>
      <c r="N1003" s="1103"/>
      <c r="O1003"/>
      <c r="P1003" s="159"/>
      <c r="Q1003" s="147"/>
      <c r="T1003" s="149"/>
    </row>
    <row r="1004" spans="1:24" ht="30" customHeight="1">
      <c r="A1004" s="45" t="s">
        <v>606</v>
      </c>
      <c r="B1004" s="1188" t="s">
        <v>622</v>
      </c>
      <c r="C1004" s="1189"/>
      <c r="D1004" s="1190"/>
      <c r="E1004" s="354">
        <f>+P901</f>
        <v>17.110000000000003</v>
      </c>
      <c r="F1004" s="262" t="s">
        <v>6</v>
      </c>
      <c r="G1004" s="350">
        <v>4248</v>
      </c>
      <c r="H1004" s="259" t="s">
        <v>745</v>
      </c>
      <c r="I1004" s="326">
        <f t="shared" si="29"/>
        <v>1.07</v>
      </c>
      <c r="J1004" s="326">
        <f t="shared" si="29"/>
        <v>0.99065420560747663</v>
      </c>
      <c r="K1004" s="213">
        <f t="shared" si="28"/>
        <v>77044.276800000021</v>
      </c>
      <c r="L1004" s="45" t="s">
        <v>10</v>
      </c>
      <c r="M1004" s="1146"/>
      <c r="N1004" s="1103"/>
      <c r="O1004"/>
      <c r="P1004" s="159"/>
      <c r="Q1004" s="147"/>
      <c r="T1004" s="149"/>
    </row>
    <row r="1005" spans="1:24" ht="30" customHeight="1">
      <c r="A1005" s="45">
        <v>93410</v>
      </c>
      <c r="B1005" s="1188" t="s">
        <v>895</v>
      </c>
      <c r="C1005" s="1189"/>
      <c r="D1005" s="1190"/>
      <c r="E1005" s="241">
        <f>+P911</f>
        <v>1.1000000000000001</v>
      </c>
      <c r="F1005" s="317" t="s">
        <v>3</v>
      </c>
      <c r="G1005" s="350">
        <v>1913</v>
      </c>
      <c r="H1005" s="252" t="s">
        <v>746</v>
      </c>
      <c r="I1005" s="386">
        <f>+R911</f>
        <v>0.94232233454704462</v>
      </c>
      <c r="J1005" s="45"/>
      <c r="K1005" s="213">
        <f>+E1005*G1005*I1005</f>
        <v>1982.9288885873461</v>
      </c>
      <c r="L1005" s="45" t="s">
        <v>10</v>
      </c>
      <c r="M1005" s="1146"/>
      <c r="N1005" s="1103"/>
      <c r="O1005"/>
      <c r="P1005" s="159"/>
      <c r="Q1005" s="147"/>
      <c r="T1005" s="149"/>
    </row>
    <row r="1006" spans="1:24" ht="30" customHeight="1">
      <c r="A1006" s="45">
        <v>85110</v>
      </c>
      <c r="B1006" s="1188" t="s">
        <v>896</v>
      </c>
      <c r="C1006" s="1189"/>
      <c r="D1006" s="1190"/>
      <c r="E1006" s="241">
        <f>+P909</f>
        <v>58</v>
      </c>
      <c r="F1006" s="317" t="s">
        <v>3</v>
      </c>
      <c r="G1006" s="350">
        <f>40*40/9</f>
        <v>177.77777777777777</v>
      </c>
      <c r="H1006" s="252" t="s">
        <v>746</v>
      </c>
      <c r="I1006" s="386">
        <f>+R909</f>
        <v>0.94232233454704462</v>
      </c>
      <c r="J1006" s="414"/>
      <c r="K1006" s="213">
        <f>+E1006*G1006*I1006</f>
        <v>9716.3902939961936</v>
      </c>
      <c r="L1006" s="45" t="s">
        <v>10</v>
      </c>
      <c r="M1006" s="1146"/>
      <c r="N1006" s="1103"/>
      <c r="O1006"/>
      <c r="P1006" s="159"/>
      <c r="Q1006" s="147"/>
      <c r="T1006" s="149"/>
      <c r="U1006" s="38"/>
      <c r="V1006" s="38"/>
      <c r="W1006" s="38"/>
      <c r="X1006" s="38"/>
    </row>
    <row r="1007" spans="1:24" s="38" customFormat="1" ht="30" customHeight="1">
      <c r="A1007" s="45"/>
      <c r="B1007" s="1307"/>
      <c r="C1007" s="1307"/>
      <c r="D1007" s="1307"/>
      <c r="E1007" s="213"/>
      <c r="F1007" s="45"/>
      <c r="G1007" s="382"/>
      <c r="H1007" s="264"/>
      <c r="I1007" s="45"/>
      <c r="J1007" s="45" t="s">
        <v>379</v>
      </c>
      <c r="K1007" s="213">
        <f>SUM(K996:K1006)</f>
        <v>169029.6483937985</v>
      </c>
      <c r="L1007" s="45" t="s">
        <v>10</v>
      </c>
      <c r="M1007" s="1146"/>
      <c r="N1007" s="1103"/>
      <c r="P1007" s="159"/>
      <c r="Q1007" s="147"/>
      <c r="T1007" s="149"/>
      <c r="U1007"/>
      <c r="V1007"/>
      <c r="W1007"/>
      <c r="X1007"/>
    </row>
    <row r="1008" spans="1:24" ht="30" customHeight="1" thickBot="1">
      <c r="A1008" s="45"/>
      <c r="B1008" s="45"/>
      <c r="C1008" s="46"/>
      <c r="D1008" s="46"/>
      <c r="E1008" s="46"/>
      <c r="F1008" s="46"/>
      <c r="G1008" s="176" t="s">
        <v>312</v>
      </c>
      <c r="H1008" s="46"/>
      <c r="I1008" s="46"/>
      <c r="J1008" s="139">
        <f>VLOOKUP(B994,'Mil Cost Premiums for RUCs'!$A$4:$R$266,18,FALSE)</f>
        <v>1.0485669999999998</v>
      </c>
      <c r="K1008" s="21">
        <f>+K1007*J1008</f>
        <v>177238.91132734009</v>
      </c>
      <c r="L1008" s="45" t="s">
        <v>10</v>
      </c>
      <c r="M1008" s="1146"/>
      <c r="N1008" s="1103"/>
      <c r="O1008"/>
      <c r="P1008" s="159"/>
      <c r="Q1008" s="147"/>
      <c r="T1008" s="149"/>
    </row>
    <row r="1009" spans="1:24" ht="30" customHeight="1" thickBot="1">
      <c r="A1009" s="1165"/>
      <c r="B1009" s="1166"/>
      <c r="C1009" s="1166"/>
      <c r="D1009" s="1166"/>
      <c r="E1009" s="1166"/>
      <c r="F1009" s="1166"/>
      <c r="G1009" s="1166"/>
      <c r="H1009" s="1166"/>
      <c r="I1009" s="1166"/>
      <c r="J1009" s="1166"/>
      <c r="K1009" s="1166"/>
      <c r="L1009" s="1167"/>
      <c r="M1009" s="1146"/>
      <c r="N1009" s="1103"/>
      <c r="O1009"/>
      <c r="P1009" s="159"/>
      <c r="Q1009" s="147"/>
      <c r="T1009" s="149"/>
    </row>
    <row r="1010" spans="1:24" ht="75" customHeight="1">
      <c r="A1010" s="27" t="s">
        <v>280</v>
      </c>
      <c r="B1010" s="28">
        <v>1792</v>
      </c>
      <c r="C1010" s="1426" t="s">
        <v>897</v>
      </c>
      <c r="D1010" s="1427"/>
      <c r="E1010" s="30" t="s">
        <v>282</v>
      </c>
      <c r="F1010" s="31" t="s">
        <v>10</v>
      </c>
      <c r="G1010" s="70" t="s">
        <v>898</v>
      </c>
      <c r="H1010" s="186">
        <v>1</v>
      </c>
      <c r="I1010" s="30" t="s">
        <v>283</v>
      </c>
      <c r="J1010" s="1199" t="s">
        <v>2611</v>
      </c>
      <c r="K1010" s="1199"/>
      <c r="L1010" s="1200"/>
      <c r="M1010" s="1146"/>
      <c r="N1010" s="1103"/>
      <c r="O1010"/>
      <c r="P1010" s="159"/>
      <c r="Q1010" s="147"/>
      <c r="T1010" s="149"/>
    </row>
    <row r="1011" spans="1:24" ht="30" customHeight="1">
      <c r="A1011" s="35" t="s">
        <v>597</v>
      </c>
      <c r="B1011" s="1201" t="s">
        <v>330</v>
      </c>
      <c r="C1011" s="1202"/>
      <c r="D1011" s="1203"/>
      <c r="E1011" s="150" t="s">
        <v>295</v>
      </c>
      <c r="F1011" s="362" t="s">
        <v>331</v>
      </c>
      <c r="G1011" s="1356" t="s">
        <v>332</v>
      </c>
      <c r="H1011" s="1357"/>
      <c r="I1011" s="77" t="s">
        <v>305</v>
      </c>
      <c r="J1011" s="151" t="s">
        <v>308</v>
      </c>
      <c r="K1011" s="1312" t="s">
        <v>297</v>
      </c>
      <c r="L1011" s="1313"/>
      <c r="M1011" s="1146"/>
      <c r="N1011" s="1103"/>
      <c r="O1011"/>
      <c r="P1011" s="159"/>
      <c r="Q1011" s="147"/>
      <c r="T1011" s="149"/>
    </row>
    <row r="1012" spans="1:24" ht="30" customHeight="1">
      <c r="A1012" s="35"/>
      <c r="B1012" s="1179" t="s">
        <v>899</v>
      </c>
      <c r="C1012" s="1180"/>
      <c r="D1012" s="1181"/>
      <c r="E1012" s="150"/>
      <c r="F1012" s="362"/>
      <c r="G1012" s="392"/>
      <c r="H1012" s="393"/>
      <c r="I1012" s="244"/>
      <c r="J1012" s="244"/>
      <c r="K1012" s="362"/>
      <c r="L1012" s="362"/>
      <c r="M1012" s="1146"/>
      <c r="N1012" s="1103"/>
      <c r="O1012"/>
      <c r="P1012" s="159"/>
      <c r="Q1012" s="147"/>
      <c r="T1012" s="149"/>
    </row>
    <row r="1013" spans="1:24" ht="30" customHeight="1">
      <c r="A1013" s="45" t="s">
        <v>538</v>
      </c>
      <c r="B1013" s="1176" t="s">
        <v>900</v>
      </c>
      <c r="C1013" s="1177"/>
      <c r="D1013" s="1178"/>
      <c r="E1013" s="354">
        <f>+P891</f>
        <v>9.15</v>
      </c>
      <c r="F1013" s="45" t="s">
        <v>8</v>
      </c>
      <c r="G1013" s="350">
        <f>246*62</f>
        <v>15252</v>
      </c>
      <c r="H1013" s="259" t="s">
        <v>741</v>
      </c>
      <c r="I1013" s="326">
        <f>+R891</f>
        <v>1.05</v>
      </c>
      <c r="J1013" s="326">
        <f>+S891</f>
        <v>0.99065420560747663</v>
      </c>
      <c r="K1013" s="213">
        <f t="shared" ref="K1013:K1024" si="30">+E1013*G1013*I1013*J1013</f>
        <v>145164.11719626171</v>
      </c>
      <c r="L1013" s="45" t="s">
        <v>10</v>
      </c>
      <c r="M1013" s="1146"/>
      <c r="N1013" s="1103"/>
      <c r="O1013"/>
      <c r="P1013" s="159"/>
      <c r="Q1013" s="147"/>
      <c r="T1013" s="149"/>
    </row>
    <row r="1014" spans="1:24" ht="30" customHeight="1">
      <c r="A1014" s="45" t="s">
        <v>600</v>
      </c>
      <c r="B1014" s="1176" t="s">
        <v>901</v>
      </c>
      <c r="C1014" s="1177"/>
      <c r="D1014" s="1178"/>
      <c r="E1014" s="354">
        <f>+P895</f>
        <v>439.5</v>
      </c>
      <c r="F1014" s="262" t="s">
        <v>10</v>
      </c>
      <c r="G1014" s="350">
        <v>246</v>
      </c>
      <c r="H1014" s="259" t="s">
        <v>742</v>
      </c>
      <c r="I1014" s="326">
        <f>+R895</f>
        <v>1.07</v>
      </c>
      <c r="J1014" s="326">
        <f>+S895</f>
        <v>0.99065420560747663</v>
      </c>
      <c r="K1014" s="213">
        <f t="shared" si="30"/>
        <v>114604.02</v>
      </c>
      <c r="L1014" s="45" t="s">
        <v>10</v>
      </c>
      <c r="M1014" s="1146"/>
      <c r="N1014" s="1103"/>
      <c r="O1014"/>
      <c r="P1014" s="159"/>
      <c r="Q1014" s="147"/>
      <c r="T1014" s="149"/>
      <c r="U1014" s="38"/>
      <c r="V1014" s="38"/>
      <c r="W1014" s="38"/>
      <c r="X1014" s="38"/>
    </row>
    <row r="1015" spans="1:24" s="38" customFormat="1" ht="30" customHeight="1">
      <c r="A1015" s="45" t="s">
        <v>600</v>
      </c>
      <c r="B1015" s="1176" t="s">
        <v>902</v>
      </c>
      <c r="C1015" s="1177"/>
      <c r="D1015" s="1178"/>
      <c r="E1015" s="354">
        <f>+P897</f>
        <v>316</v>
      </c>
      <c r="F1015" s="262" t="s">
        <v>10</v>
      </c>
      <c r="G1015" s="350">
        <v>246</v>
      </c>
      <c r="H1015" s="259" t="s">
        <v>742</v>
      </c>
      <c r="I1015" s="326">
        <f>+R897</f>
        <v>1.07</v>
      </c>
      <c r="J1015" s="326">
        <f>+S897</f>
        <v>0.99065420560747663</v>
      </c>
      <c r="K1015" s="213">
        <f t="shared" si="30"/>
        <v>82400.160000000003</v>
      </c>
      <c r="L1015" s="45" t="s">
        <v>10</v>
      </c>
      <c r="M1015" s="1146"/>
      <c r="N1015" s="1103"/>
      <c r="P1015" s="159"/>
      <c r="Q1015" s="147"/>
      <c r="T1015" s="149"/>
      <c r="U1015"/>
      <c r="V1015"/>
      <c r="W1015"/>
      <c r="X1015"/>
    </row>
    <row r="1016" spans="1:24" ht="30" customHeight="1">
      <c r="A1016" s="45" t="s">
        <v>538</v>
      </c>
      <c r="B1016" s="1224" t="s">
        <v>903</v>
      </c>
      <c r="C1016" s="1224"/>
      <c r="D1016" s="1224"/>
      <c r="E1016" s="354">
        <f>+P892</f>
        <v>11.17</v>
      </c>
      <c r="F1016" s="45" t="s">
        <v>8</v>
      </c>
      <c r="G1016" s="350">
        <f>50*468</f>
        <v>23400</v>
      </c>
      <c r="H1016" s="259" t="s">
        <v>741</v>
      </c>
      <c r="I1016" s="326">
        <f>+R892</f>
        <v>1.05</v>
      </c>
      <c r="J1016" s="326">
        <f>+S892</f>
        <v>0.99065420560747663</v>
      </c>
      <c r="K1016" s="213">
        <f t="shared" si="30"/>
        <v>271881.97570093459</v>
      </c>
      <c r="L1016" s="45" t="s">
        <v>10</v>
      </c>
      <c r="M1016" s="1146"/>
      <c r="N1016" s="1103"/>
      <c r="O1016"/>
      <c r="P1016" s="159"/>
      <c r="Q1016" s="147"/>
      <c r="T1016" s="149"/>
    </row>
    <row r="1017" spans="1:24" ht="30" customHeight="1">
      <c r="A1017" s="45" t="s">
        <v>480</v>
      </c>
      <c r="B1017" s="1224" t="s">
        <v>756</v>
      </c>
      <c r="C1017" s="1224"/>
      <c r="D1017" s="1224"/>
      <c r="E1017" s="354">
        <f>+P893</f>
        <v>17.95</v>
      </c>
      <c r="F1017" s="45" t="s">
        <v>8</v>
      </c>
      <c r="G1017" s="350">
        <f>2152*8</f>
        <v>17216</v>
      </c>
      <c r="H1017" s="259" t="s">
        <v>741</v>
      </c>
      <c r="I1017" s="326">
        <f>+R893</f>
        <v>1.07</v>
      </c>
      <c r="J1017" s="326">
        <f>+S893</f>
        <v>0.99065420560747663</v>
      </c>
      <c r="K1017" s="213">
        <f t="shared" si="30"/>
        <v>327568.83200000005</v>
      </c>
      <c r="L1017" s="45" t="s">
        <v>10</v>
      </c>
      <c r="M1017" s="1146"/>
      <c r="N1017" s="1103"/>
      <c r="O1017"/>
      <c r="P1017" s="159"/>
      <c r="Q1017" s="147"/>
      <c r="T1017" s="149"/>
    </row>
    <row r="1018" spans="1:24" ht="30" customHeight="1">
      <c r="A1018" s="45" t="s">
        <v>480</v>
      </c>
      <c r="B1018" s="1224" t="s">
        <v>773</v>
      </c>
      <c r="C1018" s="1224"/>
      <c r="D1018" s="1224"/>
      <c r="E1018" s="354">
        <f>+P893</f>
        <v>17.95</v>
      </c>
      <c r="F1018" s="45" t="s">
        <v>8</v>
      </c>
      <c r="G1018" s="350">
        <f>80.7*35</f>
        <v>2824.5</v>
      </c>
      <c r="H1018" s="259" t="s">
        <v>741</v>
      </c>
      <c r="I1018" s="326">
        <f>+R893</f>
        <v>1.07</v>
      </c>
      <c r="J1018" s="326">
        <f>+S893</f>
        <v>0.99065420560747663</v>
      </c>
      <c r="K1018" s="213">
        <f t="shared" si="30"/>
        <v>53741.761500000001</v>
      </c>
      <c r="L1018" s="45" t="s">
        <v>10</v>
      </c>
      <c r="M1018" s="1146"/>
      <c r="N1018" s="1103"/>
      <c r="O1018"/>
      <c r="P1018" s="159"/>
      <c r="Q1018" s="147"/>
      <c r="T1018" s="149"/>
    </row>
    <row r="1019" spans="1:24" ht="30" customHeight="1">
      <c r="A1019" s="45" t="s">
        <v>600</v>
      </c>
      <c r="B1019" s="1224" t="s">
        <v>904</v>
      </c>
      <c r="C1019" s="1224"/>
      <c r="D1019" s="1224"/>
      <c r="E1019" s="354">
        <f>+P896</f>
        <v>800</v>
      </c>
      <c r="F1019" s="262" t="s">
        <v>10</v>
      </c>
      <c r="G1019" s="350">
        <v>93</v>
      </c>
      <c r="H1019" s="259" t="s">
        <v>742</v>
      </c>
      <c r="I1019" s="326">
        <f>+R896</f>
        <v>1.07</v>
      </c>
      <c r="J1019" s="326">
        <f>+S896</f>
        <v>0.99065420560747663</v>
      </c>
      <c r="K1019" s="213">
        <f t="shared" si="30"/>
        <v>78864</v>
      </c>
      <c r="L1019" s="45" t="s">
        <v>10</v>
      </c>
      <c r="M1019" s="1146"/>
      <c r="N1019" s="1103"/>
      <c r="O1019"/>
      <c r="P1019" s="159"/>
      <c r="Q1019" s="147"/>
      <c r="T1019" s="149"/>
    </row>
    <row r="1020" spans="1:24" ht="30" customHeight="1">
      <c r="A1020" s="45" t="s">
        <v>461</v>
      </c>
      <c r="B1020" s="1224" t="s">
        <v>905</v>
      </c>
      <c r="C1020" s="1224"/>
      <c r="D1020" s="1224"/>
      <c r="E1020" s="354">
        <f>+P903</f>
        <v>17.125</v>
      </c>
      <c r="F1020" s="262" t="s">
        <v>6</v>
      </c>
      <c r="G1020" s="350">
        <f>+((656*8)+(49*35))</f>
        <v>6963</v>
      </c>
      <c r="H1020" s="259" t="s">
        <v>745</v>
      </c>
      <c r="I1020" s="326">
        <f>+R903</f>
        <v>1.07</v>
      </c>
      <c r="J1020" s="326">
        <f>+S903</f>
        <v>0.99065420560747663</v>
      </c>
      <c r="K1020" s="213">
        <f t="shared" si="30"/>
        <v>126395.8575</v>
      </c>
      <c r="L1020" s="45" t="s">
        <v>10</v>
      </c>
      <c r="M1020" s="1146"/>
      <c r="N1020" s="1103"/>
      <c r="O1020"/>
      <c r="P1020" s="159"/>
      <c r="Q1020" s="147"/>
      <c r="T1020" s="149"/>
    </row>
    <row r="1021" spans="1:24" ht="30" customHeight="1">
      <c r="A1021" s="45" t="s">
        <v>461</v>
      </c>
      <c r="B1021" s="1176" t="s">
        <v>759</v>
      </c>
      <c r="C1021" s="1177"/>
      <c r="D1021" s="1178"/>
      <c r="E1021" s="354">
        <f>+P904</f>
        <v>2617.5</v>
      </c>
      <c r="F1021" s="262" t="s">
        <v>10</v>
      </c>
      <c r="G1021" s="350">
        <v>43</v>
      </c>
      <c r="H1021" s="259" t="s">
        <v>742</v>
      </c>
      <c r="I1021" s="326">
        <f>+R904</f>
        <v>1.07</v>
      </c>
      <c r="J1021" s="326">
        <f>+S904</f>
        <v>0.99065420560747663</v>
      </c>
      <c r="K1021" s="213">
        <f t="shared" si="30"/>
        <v>119305.65000000001</v>
      </c>
      <c r="L1021" s="45" t="s">
        <v>10</v>
      </c>
      <c r="M1021" s="1146"/>
      <c r="N1021" s="1103"/>
      <c r="O1021"/>
      <c r="P1021" s="159"/>
      <c r="Q1021" s="147"/>
      <c r="T1021" s="149"/>
    </row>
    <row r="1022" spans="1:24" ht="30" customHeight="1">
      <c r="A1022" s="45" t="s">
        <v>600</v>
      </c>
      <c r="B1022" s="1176" t="s">
        <v>685</v>
      </c>
      <c r="C1022" s="1177"/>
      <c r="D1022" s="1178"/>
      <c r="E1022" s="354">
        <f>+P899</f>
        <v>985</v>
      </c>
      <c r="F1022" s="262" t="s">
        <v>10</v>
      </c>
      <c r="G1022" s="350">
        <v>93</v>
      </c>
      <c r="H1022" s="259" t="s">
        <v>742</v>
      </c>
      <c r="I1022" s="326">
        <f t="shared" ref="I1022:J1024" si="31">+R899</f>
        <v>1.07</v>
      </c>
      <c r="J1022" s="326">
        <f t="shared" si="31"/>
        <v>0.99065420560747663</v>
      </c>
      <c r="K1022" s="213">
        <f t="shared" si="30"/>
        <v>97101.3</v>
      </c>
      <c r="L1022" s="45" t="s">
        <v>10</v>
      </c>
      <c r="M1022" s="1146"/>
      <c r="N1022" s="1103"/>
      <c r="O1022"/>
      <c r="P1022" s="159"/>
      <c r="Q1022" s="147"/>
      <c r="T1022" s="149"/>
    </row>
    <row r="1023" spans="1:24" ht="30" customHeight="1">
      <c r="A1023" s="45" t="s">
        <v>604</v>
      </c>
      <c r="B1023" s="1224" t="s">
        <v>760</v>
      </c>
      <c r="C1023" s="1224"/>
      <c r="D1023" s="1224"/>
      <c r="E1023" s="354">
        <f>+P900</f>
        <v>137.85</v>
      </c>
      <c r="F1023" s="262" t="s">
        <v>10</v>
      </c>
      <c r="G1023" s="350">
        <f>(5*50)+(4*(8+246+35))</f>
        <v>1406</v>
      </c>
      <c r="H1023" s="259" t="s">
        <v>742</v>
      </c>
      <c r="I1023" s="326">
        <f t="shared" si="31"/>
        <v>1.07</v>
      </c>
      <c r="J1023" s="326">
        <f t="shared" si="31"/>
        <v>0.99065420560747663</v>
      </c>
      <c r="K1023" s="213">
        <f t="shared" si="30"/>
        <v>205446.12600000002</v>
      </c>
      <c r="L1023" s="45" t="s">
        <v>10</v>
      </c>
      <c r="M1023" s="1146"/>
      <c r="N1023" s="1103"/>
      <c r="O1023"/>
      <c r="P1023" s="159"/>
      <c r="Q1023" s="147"/>
      <c r="T1023" s="149"/>
      <c r="U1023" s="38"/>
      <c r="V1023" s="38"/>
      <c r="W1023" s="38"/>
      <c r="X1023" s="38"/>
    </row>
    <row r="1024" spans="1:24" s="38" customFormat="1" ht="30" customHeight="1">
      <c r="A1024" s="45" t="s">
        <v>606</v>
      </c>
      <c r="B1024" s="1176" t="s">
        <v>622</v>
      </c>
      <c r="C1024" s="1177"/>
      <c r="D1024" s="1178"/>
      <c r="E1024" s="354">
        <f>+P901</f>
        <v>17.110000000000003</v>
      </c>
      <c r="F1024" s="262" t="s">
        <v>6</v>
      </c>
      <c r="G1024" s="350">
        <v>29527</v>
      </c>
      <c r="H1024" s="259" t="s">
        <v>745</v>
      </c>
      <c r="I1024" s="326">
        <f t="shared" si="31"/>
        <v>1.07</v>
      </c>
      <c r="J1024" s="326">
        <f t="shared" si="31"/>
        <v>0.99065420560747663</v>
      </c>
      <c r="K1024" s="213">
        <f t="shared" si="30"/>
        <v>535519.38820000016</v>
      </c>
      <c r="L1024" s="45" t="s">
        <v>10</v>
      </c>
      <c r="M1024" s="1146"/>
      <c r="N1024" s="1103"/>
      <c r="P1024" s="159"/>
      <c r="Q1024" s="147"/>
      <c r="T1024" s="149"/>
      <c r="U1024"/>
      <c r="V1024"/>
      <c r="W1024"/>
      <c r="X1024"/>
    </row>
    <row r="1025" spans="1:24" ht="30" customHeight="1">
      <c r="A1025" s="45">
        <v>93410</v>
      </c>
      <c r="B1025" s="1188" t="s">
        <v>906</v>
      </c>
      <c r="C1025" s="1189"/>
      <c r="D1025" s="1190"/>
      <c r="E1025" s="241">
        <f>+P911</f>
        <v>1.1000000000000001</v>
      </c>
      <c r="F1025" s="317" t="s">
        <v>3</v>
      </c>
      <c r="G1025" s="350">
        <v>10525</v>
      </c>
      <c r="H1025" s="252" t="s">
        <v>746</v>
      </c>
      <c r="I1025" s="386">
        <f>+R911</f>
        <v>0.94232233454704462</v>
      </c>
      <c r="J1025" s="20"/>
      <c r="K1025" s="213">
        <f>+E1025*G1025*I1025</f>
        <v>10909.736828218411</v>
      </c>
      <c r="L1025" s="45" t="s">
        <v>10</v>
      </c>
      <c r="M1025" s="1146"/>
      <c r="N1025" s="1103"/>
      <c r="O1025"/>
      <c r="P1025" s="159"/>
      <c r="Q1025" s="147"/>
      <c r="T1025" s="149"/>
    </row>
    <row r="1026" spans="1:24" ht="30" customHeight="1">
      <c r="A1026" s="45">
        <v>93410</v>
      </c>
      <c r="B1026" s="1188" t="s">
        <v>907</v>
      </c>
      <c r="C1026" s="1189"/>
      <c r="D1026" s="1190"/>
      <c r="E1026" s="354">
        <f>+P910</f>
        <v>8.1999999999999993</v>
      </c>
      <c r="F1026" s="317" t="s">
        <v>285</v>
      </c>
      <c r="G1026" s="350">
        <v>6644</v>
      </c>
      <c r="H1026" s="252" t="s">
        <v>749</v>
      </c>
      <c r="I1026" s="386">
        <f>+R910</f>
        <v>0.94232233454704462</v>
      </c>
      <c r="J1026" s="20"/>
      <c r="K1026" s="213">
        <f>+E1026*G1026*I1026</f>
        <v>51338.474643990623</v>
      </c>
      <c r="L1026" s="45" t="s">
        <v>10</v>
      </c>
      <c r="M1026" s="1146"/>
      <c r="N1026" s="1103"/>
      <c r="O1026"/>
      <c r="P1026" s="159"/>
      <c r="Q1026" s="147"/>
      <c r="T1026" s="149"/>
    </row>
    <row r="1027" spans="1:24" ht="30" customHeight="1">
      <c r="A1027" s="45">
        <v>93210</v>
      </c>
      <c r="B1027" s="1188" t="s">
        <v>908</v>
      </c>
      <c r="C1027" s="1189"/>
      <c r="D1027" s="1190"/>
      <c r="E1027" s="354">
        <f>+P912</f>
        <v>45.8</v>
      </c>
      <c r="F1027" s="317" t="s">
        <v>285</v>
      </c>
      <c r="G1027" s="350">
        <v>1569</v>
      </c>
      <c r="H1027" s="252" t="s">
        <v>749</v>
      </c>
      <c r="I1027" s="386">
        <f>+R912</f>
        <v>0.94232233454704462</v>
      </c>
      <c r="J1027" s="20"/>
      <c r="K1027" s="213">
        <f>+E1027*G1027*I1027</f>
        <v>67715.471425017531</v>
      </c>
      <c r="L1027" s="45" t="s">
        <v>10</v>
      </c>
      <c r="M1027" s="1146"/>
      <c r="N1027" s="1103"/>
      <c r="O1027"/>
      <c r="P1027" s="159"/>
      <c r="Q1027" s="147"/>
      <c r="T1027" s="149"/>
    </row>
    <row r="1028" spans="1:24" ht="30" customHeight="1">
      <c r="A1028" s="45" t="s">
        <v>624</v>
      </c>
      <c r="B1028" s="1188" t="s">
        <v>909</v>
      </c>
      <c r="C1028" s="1189"/>
      <c r="D1028" s="1190"/>
      <c r="E1028" s="241">
        <f>+P889</f>
        <v>18.05</v>
      </c>
      <c r="F1028" s="317" t="s">
        <v>8</v>
      </c>
      <c r="G1028" s="350">
        <f>20*20*13</f>
        <v>5200</v>
      </c>
      <c r="H1028" s="259" t="s">
        <v>741</v>
      </c>
      <c r="I1028" s="334">
        <f>+R889</f>
        <v>1.1000000000000001</v>
      </c>
      <c r="J1028" s="326">
        <f>+S889</f>
        <v>0.99065420560747663</v>
      </c>
      <c r="K1028" s="213">
        <f>+E1028*G1028*I1028*J1028</f>
        <v>102281.08411214955</v>
      </c>
      <c r="L1028" s="45" t="s">
        <v>10</v>
      </c>
      <c r="M1028" s="1146"/>
      <c r="N1028" s="1103"/>
      <c r="O1028"/>
      <c r="P1028" s="159"/>
      <c r="Q1028" s="147"/>
      <c r="T1028" s="149"/>
    </row>
    <row r="1029" spans="1:24" ht="30" customHeight="1">
      <c r="A1029" s="45"/>
      <c r="B1029" s="1307"/>
      <c r="C1029" s="1307"/>
      <c r="D1029" s="1307"/>
      <c r="E1029" s="213"/>
      <c r="F1029" s="45"/>
      <c r="G1029" s="382"/>
      <c r="H1029" s="264"/>
      <c r="I1029" s="20"/>
      <c r="J1029" s="20" t="s">
        <v>379</v>
      </c>
      <c r="K1029" s="213">
        <f>SUM(K1013:K1028)</f>
        <v>2390237.9551065722</v>
      </c>
      <c r="L1029" s="45" t="s">
        <v>10</v>
      </c>
      <c r="M1029" s="1146"/>
      <c r="N1029" s="1103"/>
      <c r="O1029"/>
      <c r="P1029" s="159"/>
      <c r="Q1029" s="147"/>
      <c r="T1029" s="149"/>
    </row>
    <row r="1030" spans="1:24" ht="30" customHeight="1" thickBot="1">
      <c r="A1030" s="45"/>
      <c r="B1030" s="45"/>
      <c r="C1030" s="46"/>
      <c r="D1030" s="46"/>
      <c r="E1030" s="46"/>
      <c r="F1030" s="46"/>
      <c r="G1030" s="176" t="s">
        <v>312</v>
      </c>
      <c r="H1030" s="46"/>
      <c r="I1030" s="18"/>
      <c r="J1030" s="139">
        <f>VLOOKUP(B1010,'Mil Cost Premiums for RUCs'!$A$4:$R$266,18,FALSE)</f>
        <v>1.0821211439999998</v>
      </c>
      <c r="K1030" s="21">
        <f>+K1029*J1030</f>
        <v>2586527.030412144</v>
      </c>
      <c r="L1030" s="45" t="s">
        <v>10</v>
      </c>
      <c r="M1030" s="1146"/>
      <c r="N1030" s="1103"/>
      <c r="O1030"/>
      <c r="P1030" s="159"/>
      <c r="Q1030" s="147"/>
      <c r="T1030" s="149"/>
    </row>
    <row r="1031" spans="1:24" ht="30" customHeight="1" thickBot="1">
      <c r="A1031" s="1165"/>
      <c r="B1031" s="1166"/>
      <c r="C1031" s="1166"/>
      <c r="D1031" s="1166"/>
      <c r="E1031" s="1166"/>
      <c r="F1031" s="1166"/>
      <c r="G1031" s="1166"/>
      <c r="H1031" s="1166"/>
      <c r="I1031" s="1166"/>
      <c r="J1031" s="1166"/>
      <c r="K1031" s="1166"/>
      <c r="L1031" s="1167"/>
      <c r="M1031" s="1146"/>
      <c r="N1031" s="1103"/>
      <c r="O1031"/>
      <c r="P1031" s="159"/>
      <c r="Q1031" s="147"/>
      <c r="T1031" s="149"/>
    </row>
    <row r="1032" spans="1:24" ht="75" customHeight="1">
      <c r="A1032" s="27" t="s">
        <v>280</v>
      </c>
      <c r="B1032" s="28">
        <v>1794</v>
      </c>
      <c r="C1032" s="1393" t="s">
        <v>910</v>
      </c>
      <c r="D1032" s="1394"/>
      <c r="E1032" s="30" t="s">
        <v>282</v>
      </c>
      <c r="F1032" s="31" t="s">
        <v>37</v>
      </c>
      <c r="G1032" s="70" t="s">
        <v>911</v>
      </c>
      <c r="H1032" s="186">
        <v>1</v>
      </c>
      <c r="I1032" s="30" t="s">
        <v>283</v>
      </c>
      <c r="J1032" s="1199" t="s">
        <v>2611</v>
      </c>
      <c r="K1032" s="1199"/>
      <c r="L1032" s="1200"/>
      <c r="M1032" s="1146"/>
      <c r="O1032"/>
      <c r="P1032" s="159"/>
      <c r="Q1032" s="147"/>
      <c r="T1032" s="149"/>
    </row>
    <row r="1033" spans="1:24" ht="30" customHeight="1">
      <c r="A1033" s="35" t="s">
        <v>597</v>
      </c>
      <c r="B1033" s="1300" t="s">
        <v>330</v>
      </c>
      <c r="C1033" s="1301"/>
      <c r="D1033" s="1302"/>
      <c r="E1033" s="362" t="s">
        <v>295</v>
      </c>
      <c r="F1033" s="362" t="s">
        <v>331</v>
      </c>
      <c r="G1033" s="1204" t="s">
        <v>332</v>
      </c>
      <c r="H1033" s="1205"/>
      <c r="I1033" s="151" t="s">
        <v>305</v>
      </c>
      <c r="J1033" s="151" t="s">
        <v>308</v>
      </c>
      <c r="K1033" s="1312" t="s">
        <v>297</v>
      </c>
      <c r="L1033" s="1313"/>
      <c r="M1033" s="1146"/>
      <c r="O1033"/>
      <c r="P1033" s="159"/>
      <c r="Q1033" s="147"/>
      <c r="T1033" s="149"/>
    </row>
    <row r="1034" spans="1:24" ht="30" customHeight="1">
      <c r="A1034" s="45" t="s">
        <v>538</v>
      </c>
      <c r="B1034" s="1188" t="s">
        <v>912</v>
      </c>
      <c r="C1034" s="1189"/>
      <c r="D1034" s="1190"/>
      <c r="E1034" s="354">
        <f>+P892</f>
        <v>11.17</v>
      </c>
      <c r="F1034" s="45" t="s">
        <v>8</v>
      </c>
      <c r="G1034" s="350">
        <v>481</v>
      </c>
      <c r="H1034" s="252" t="s">
        <v>599</v>
      </c>
      <c r="I1034" s="20">
        <f>+R892</f>
        <v>1.05</v>
      </c>
      <c r="J1034" s="326">
        <f>+S892</f>
        <v>0.99065420560747663</v>
      </c>
      <c r="K1034" s="213">
        <f>+E1034*G1034*I1034*J1034</f>
        <v>5588.6850560747662</v>
      </c>
      <c r="L1034" s="45" t="s">
        <v>37</v>
      </c>
      <c r="M1034" s="1146"/>
      <c r="N1034" s="1103"/>
      <c r="O1034"/>
      <c r="P1034" s="159"/>
      <c r="Q1034" s="147"/>
      <c r="T1034" s="149"/>
    </row>
    <row r="1035" spans="1:24" ht="30" customHeight="1">
      <c r="A1035" s="45">
        <v>93410</v>
      </c>
      <c r="B1035" s="1188" t="s">
        <v>913</v>
      </c>
      <c r="C1035" s="1189"/>
      <c r="D1035" s="1190"/>
      <c r="E1035" s="354">
        <f>+P910</f>
        <v>8.1999999999999993</v>
      </c>
      <c r="F1035" s="262" t="s">
        <v>285</v>
      </c>
      <c r="G1035" s="350">
        <v>706</v>
      </c>
      <c r="H1035" s="252" t="s">
        <v>611</v>
      </c>
      <c r="I1035" s="386">
        <f>+R910</f>
        <v>0.94232233454704462</v>
      </c>
      <c r="J1035" s="20"/>
      <c r="K1035" s="213">
        <f>+E1035*G1035*I1035</f>
        <v>5455.2924591597503</v>
      </c>
      <c r="L1035" s="45" t="s">
        <v>37</v>
      </c>
      <c r="M1035" s="1146"/>
      <c r="N1035" s="1103"/>
      <c r="O1035"/>
      <c r="P1035" s="159"/>
      <c r="Q1035" s="147"/>
      <c r="T1035" s="149"/>
    </row>
    <row r="1036" spans="1:24" ht="30" customHeight="1">
      <c r="A1036" s="45">
        <v>93210</v>
      </c>
      <c r="B1036" s="1188" t="s">
        <v>693</v>
      </c>
      <c r="C1036" s="1189"/>
      <c r="D1036" s="1190"/>
      <c r="E1036" s="354">
        <f>+P912</f>
        <v>45.8</v>
      </c>
      <c r="F1036" s="262" t="s">
        <v>285</v>
      </c>
      <c r="G1036" s="350">
        <v>81.75</v>
      </c>
      <c r="H1036" s="252" t="s">
        <v>611</v>
      </c>
      <c r="I1036" s="386">
        <f>+R912</f>
        <v>0.94232233454704462</v>
      </c>
      <c r="J1036" s="20"/>
      <c r="K1036" s="213">
        <f>+E1036*G1036*I1036</f>
        <v>3528.1961688943165</v>
      </c>
      <c r="L1036" s="45" t="s">
        <v>37</v>
      </c>
      <c r="M1036" s="1146"/>
      <c r="N1036" s="1103"/>
      <c r="O1036"/>
      <c r="P1036" s="159"/>
      <c r="Q1036" s="147"/>
      <c r="T1036" s="149"/>
    </row>
    <row r="1037" spans="1:24" ht="30" customHeight="1">
      <c r="A1037" s="45"/>
      <c r="B1037" s="1307"/>
      <c r="C1037" s="1307"/>
      <c r="D1037" s="1307"/>
      <c r="E1037" s="213"/>
      <c r="F1037" s="45"/>
      <c r="G1037" s="395"/>
      <c r="H1037" s="329"/>
      <c r="I1037" s="20"/>
      <c r="J1037" s="20" t="s">
        <v>379</v>
      </c>
      <c r="K1037" s="213">
        <f>SUM(K1034:K1035)</f>
        <v>11043.977515234517</v>
      </c>
      <c r="L1037" s="45" t="s">
        <v>37</v>
      </c>
      <c r="M1037" s="1146"/>
      <c r="N1037" s="1103"/>
      <c r="O1037"/>
      <c r="P1037" s="159"/>
      <c r="Q1037" s="147"/>
      <c r="T1037" s="149"/>
    </row>
    <row r="1038" spans="1:24" ht="30" customHeight="1" thickBot="1">
      <c r="A1038" s="45"/>
      <c r="B1038" s="45"/>
      <c r="C1038" s="46"/>
      <c r="D1038" s="46"/>
      <c r="E1038" s="46"/>
      <c r="F1038" s="46"/>
      <c r="G1038" s="160" t="s">
        <v>312</v>
      </c>
      <c r="H1038" s="18"/>
      <c r="I1038" s="18"/>
      <c r="J1038" s="139">
        <f>VLOOKUP(B1032,'Mil Cost Premiums for RUCs'!$A$4:$R$266,18,FALSE)</f>
        <v>1.0485669999999998</v>
      </c>
      <c r="K1038" s="21">
        <f>+K1037*J1038</f>
        <v>11580.350371216909</v>
      </c>
      <c r="L1038" s="45" t="s">
        <v>37</v>
      </c>
      <c r="M1038" s="1146"/>
      <c r="N1038" s="1103"/>
      <c r="O1038"/>
      <c r="P1038" s="159"/>
      <c r="Q1038" s="147"/>
      <c r="T1038" s="149"/>
    </row>
    <row r="1039" spans="1:24" ht="30" customHeight="1" thickBot="1">
      <c r="A1039" s="1165"/>
      <c r="B1039" s="1166"/>
      <c r="C1039" s="1166"/>
      <c r="D1039" s="1166"/>
      <c r="E1039" s="1166"/>
      <c r="F1039" s="1166"/>
      <c r="G1039" s="1166"/>
      <c r="H1039" s="1166"/>
      <c r="I1039" s="1166"/>
      <c r="J1039" s="1166"/>
      <c r="K1039" s="1166"/>
      <c r="L1039" s="1167"/>
      <c r="M1039" s="1146"/>
      <c r="N1039" s="1103"/>
      <c r="O1039"/>
      <c r="P1039" s="159"/>
      <c r="Q1039" s="147"/>
      <c r="T1039" s="149"/>
    </row>
    <row r="1040" spans="1:24" ht="30" customHeight="1">
      <c r="A1040" s="162" t="s">
        <v>280</v>
      </c>
      <c r="B1040" s="163">
        <v>1795</v>
      </c>
      <c r="C1040" s="1290" t="s">
        <v>914</v>
      </c>
      <c r="D1040" s="1291"/>
      <c r="E1040" s="216" t="s">
        <v>282</v>
      </c>
      <c r="F1040" s="217" t="s">
        <v>10</v>
      </c>
      <c r="G1040" s="1042" t="s">
        <v>281</v>
      </c>
      <c r="H1040" s="397">
        <v>1</v>
      </c>
      <c r="I1040" s="216" t="s">
        <v>283</v>
      </c>
      <c r="J1040" s="1409" t="s">
        <v>2620</v>
      </c>
      <c r="K1040" s="1409"/>
      <c r="L1040" s="1410"/>
      <c r="M1040" s="1146"/>
      <c r="N1040" s="405"/>
      <c r="O1040"/>
      <c r="P1040" s="159"/>
      <c r="Q1040" s="147"/>
      <c r="T1040" s="149"/>
      <c r="U1040" s="38"/>
      <c r="V1040" s="38"/>
      <c r="W1040" s="38"/>
      <c r="X1040" s="38"/>
    </row>
    <row r="1041" spans="1:24" s="38" customFormat="1" ht="30" customHeight="1">
      <c r="A1041" s="294" t="s">
        <v>304</v>
      </c>
      <c r="B1041" s="1436" t="s">
        <v>330</v>
      </c>
      <c r="C1041" s="1437"/>
      <c r="D1041" s="1438"/>
      <c r="E1041" s="219" t="s">
        <v>295</v>
      </c>
      <c r="F1041" s="219" t="s">
        <v>331</v>
      </c>
      <c r="G1041" s="1327" t="s">
        <v>332</v>
      </c>
      <c r="H1041" s="1328"/>
      <c r="I1041" s="220" t="s">
        <v>305</v>
      </c>
      <c r="J1041" s="151" t="s">
        <v>308</v>
      </c>
      <c r="K1041" s="1312" t="s">
        <v>297</v>
      </c>
      <c r="L1041" s="1313"/>
      <c r="M1041" s="1146"/>
      <c r="N1041" s="405"/>
      <c r="P1041" s="159"/>
      <c r="Q1041" s="147"/>
      <c r="T1041" s="149"/>
      <c r="U1041"/>
      <c r="V1041"/>
      <c r="W1041"/>
      <c r="X1041"/>
    </row>
    <row r="1042" spans="1:24" ht="30" customHeight="1">
      <c r="A1042" s="24" t="s">
        <v>915</v>
      </c>
      <c r="B1042" s="1439" t="s">
        <v>916</v>
      </c>
      <c r="C1042" s="1440"/>
      <c r="D1042" s="1441"/>
      <c r="E1042" s="14">
        <f>+(10.15+17.15)/2</f>
        <v>13.649999999999999</v>
      </c>
      <c r="F1042" s="401" t="s">
        <v>209</v>
      </c>
      <c r="G1042" s="115">
        <f>+(E1042)*(50*50*10*4)+(E1042)*(50*50*10)*0.005</f>
        <v>1366706.2499999998</v>
      </c>
      <c r="H1042" s="133" t="s">
        <v>917</v>
      </c>
      <c r="I1042" s="10">
        <v>1.06</v>
      </c>
      <c r="J1042" s="415">
        <f>1.07/1.02</f>
        <v>1.0490196078431373</v>
      </c>
      <c r="K1042" s="416">
        <f>+G1042*I1042*J1042</f>
        <v>1519723.7536764704</v>
      </c>
      <c r="L1042" s="24" t="s">
        <v>10</v>
      </c>
      <c r="M1042" s="1146"/>
      <c r="N1042" s="405"/>
      <c r="O1042"/>
      <c r="P1042" s="159"/>
      <c r="Q1042" s="147"/>
      <c r="T1042" s="149"/>
    </row>
    <row r="1043" spans="1:24" ht="30" customHeight="1">
      <c r="A1043" s="24" t="s">
        <v>918</v>
      </c>
      <c r="B1043" s="1439" t="s">
        <v>919</v>
      </c>
      <c r="C1043" s="1440"/>
      <c r="D1043" s="1441"/>
      <c r="E1043" s="12">
        <f>+(1.23+2.49)/2</f>
        <v>1.86</v>
      </c>
      <c r="F1043" s="10" t="s">
        <v>5</v>
      </c>
      <c r="G1043" s="14">
        <f>+E1043*5000</f>
        <v>9300</v>
      </c>
      <c r="H1043" s="133" t="s">
        <v>920</v>
      </c>
      <c r="I1043" s="415">
        <v>1.03</v>
      </c>
      <c r="J1043" s="415">
        <f>1.07/1.02</f>
        <v>1.0490196078431373</v>
      </c>
      <c r="K1043" s="416">
        <f>+G1043*I1043*J1043</f>
        <v>10048.558823529413</v>
      </c>
      <c r="L1043" s="24" t="s">
        <v>10</v>
      </c>
      <c r="M1043" s="1146"/>
      <c r="N1043" s="405"/>
      <c r="O1043"/>
      <c r="P1043" s="159"/>
      <c r="Q1043" s="147"/>
      <c r="T1043" s="149"/>
    </row>
    <row r="1044" spans="1:24" ht="30" customHeight="1">
      <c r="A1044" s="24">
        <v>83210</v>
      </c>
      <c r="B1044" s="1439" t="s">
        <v>921</v>
      </c>
      <c r="C1044" s="1440"/>
      <c r="D1044" s="1441"/>
      <c r="E1044" s="14">
        <v>23890</v>
      </c>
      <c r="F1044" s="24" t="s">
        <v>10</v>
      </c>
      <c r="G1044" s="417"/>
      <c r="H1044" s="418"/>
      <c r="I1044" s="419">
        <f>+'2019 MILCON Inflation Table'!F17</f>
        <v>0.96116878123798544</v>
      </c>
      <c r="J1044" s="24"/>
      <c r="K1044" s="416">
        <f>+E1044*I1044</f>
        <v>22962.322183775472</v>
      </c>
      <c r="L1044" s="24" t="s">
        <v>10</v>
      </c>
      <c r="M1044" s="1146"/>
      <c r="N1044" s="1103"/>
      <c r="O1044"/>
      <c r="P1044" s="159"/>
      <c r="Q1044" s="147"/>
      <c r="T1044" s="149"/>
    </row>
    <row r="1045" spans="1:24" ht="30" customHeight="1">
      <c r="A1045" s="24"/>
      <c r="B1045" s="1340"/>
      <c r="C1045" s="1340"/>
      <c r="D1045" s="1340"/>
      <c r="E1045" s="420"/>
      <c r="F1045" s="24"/>
      <c r="G1045" s="421"/>
      <c r="H1045" s="418"/>
      <c r="I1045" s="24"/>
      <c r="J1045" s="24" t="s">
        <v>379</v>
      </c>
      <c r="K1045" s="416">
        <f>SUM(K1042:K1044)</f>
        <v>1552734.6346837752</v>
      </c>
      <c r="L1045" s="24" t="s">
        <v>10</v>
      </c>
      <c r="M1045" s="1146"/>
      <c r="N1045" s="1103"/>
      <c r="O1045"/>
      <c r="P1045" s="159"/>
      <c r="Q1045" s="147"/>
      <c r="T1045" s="149"/>
    </row>
    <row r="1046" spans="1:24" ht="30" customHeight="1">
      <c r="A1046" s="24"/>
      <c r="B1046" s="24"/>
      <c r="C1046" s="47"/>
      <c r="D1046" s="47"/>
      <c r="E1046" s="47"/>
      <c r="F1046" s="47"/>
      <c r="G1046" s="47"/>
      <c r="H1046" s="47"/>
      <c r="I1046" s="47"/>
      <c r="J1046" s="47" t="s">
        <v>289</v>
      </c>
      <c r="K1046" s="17">
        <f>+K1045</f>
        <v>1552734.6346837752</v>
      </c>
      <c r="L1046" s="24" t="s">
        <v>10</v>
      </c>
      <c r="M1046" s="1146"/>
      <c r="N1046" s="1103"/>
      <c r="O1046"/>
      <c r="P1046" s="159"/>
      <c r="Q1046" s="147"/>
      <c r="T1046" s="149"/>
    </row>
    <row r="1047" spans="1:24" ht="30" customHeight="1">
      <c r="A1047" s="24"/>
      <c r="B1047" s="24"/>
      <c r="C1047" s="47"/>
      <c r="D1047" s="47"/>
      <c r="E1047" s="47"/>
      <c r="F1047" s="47"/>
      <c r="G1047" s="176" t="s">
        <v>312</v>
      </c>
      <c r="H1047" s="47"/>
      <c r="I1047" s="47"/>
      <c r="J1047" s="139">
        <f>VLOOKUP(B1040,'Mil Cost Premiums for RUCs'!$A$4:$R$266,18,FALSE)</f>
        <v>1.0821211439999998</v>
      </c>
      <c r="K1047" s="17">
        <f>+K1046*J1047</f>
        <v>1680246.9792124287</v>
      </c>
      <c r="L1047" s="24" t="s">
        <v>10</v>
      </c>
      <c r="M1047" s="1146"/>
      <c r="N1047" s="1103"/>
      <c r="O1047"/>
      <c r="P1047" s="159"/>
      <c r="Q1047" s="147"/>
      <c r="T1047" s="149"/>
    </row>
    <row r="1048" spans="1:24" ht="60" customHeight="1">
      <c r="A1048" s="1334" t="s">
        <v>313</v>
      </c>
      <c r="B1048" s="1442"/>
      <c r="C1048" s="1442"/>
      <c r="D1048" s="1442"/>
      <c r="E1048" s="1442"/>
      <c r="F1048" s="1442"/>
      <c r="G1048" s="1442"/>
      <c r="H1048" s="1442"/>
      <c r="I1048" s="1442"/>
      <c r="J1048" s="1442"/>
      <c r="K1048" s="1442"/>
      <c r="L1048" s="1443"/>
      <c r="M1048" s="1146"/>
      <c r="N1048" s="1103"/>
      <c r="O1048"/>
      <c r="P1048" s="159"/>
      <c r="Q1048" s="147"/>
      <c r="T1048" s="149"/>
    </row>
    <row r="1049" spans="1:24" ht="30" customHeight="1">
      <c r="A1049" s="1428" t="s">
        <v>314</v>
      </c>
      <c r="B1049" s="1429"/>
      <c r="C1049" s="1430"/>
      <c r="D1049" s="1270" t="s">
        <v>922</v>
      </c>
      <c r="E1049" s="1371"/>
      <c r="F1049" s="1371"/>
      <c r="G1049" s="1371"/>
      <c r="H1049" s="1371"/>
      <c r="I1049" s="1371"/>
      <c r="J1049" s="1371"/>
      <c r="K1049" s="1371"/>
      <c r="L1049" s="1372"/>
      <c r="M1049" s="1146"/>
      <c r="N1049" s="1103"/>
      <c r="O1049"/>
      <c r="P1049" s="159"/>
      <c r="Q1049" s="147"/>
      <c r="T1049" s="149"/>
    </row>
    <row r="1050" spans="1:24" ht="30" customHeight="1">
      <c r="A1050" s="1428" t="s">
        <v>316</v>
      </c>
      <c r="B1050" s="1429"/>
      <c r="C1050" s="1430"/>
      <c r="D1050" s="1270" t="s">
        <v>923</v>
      </c>
      <c r="E1050" s="1371"/>
      <c r="F1050" s="1371"/>
      <c r="G1050" s="1371"/>
      <c r="H1050" s="1371"/>
      <c r="I1050" s="1371"/>
      <c r="J1050" s="1371"/>
      <c r="K1050" s="1371"/>
      <c r="L1050" s="1372"/>
      <c r="M1050" s="1146"/>
      <c r="N1050" s="1103"/>
      <c r="O1050"/>
      <c r="P1050" s="159"/>
      <c r="Q1050" s="147"/>
      <c r="T1050" s="149"/>
    </row>
    <row r="1051" spans="1:24" ht="30" customHeight="1">
      <c r="A1051" s="1428" t="s">
        <v>317</v>
      </c>
      <c r="B1051" s="1429"/>
      <c r="C1051" s="1430"/>
      <c r="D1051" s="1270" t="s">
        <v>2887</v>
      </c>
      <c r="E1051" s="1371"/>
      <c r="F1051" s="1371"/>
      <c r="G1051" s="1371"/>
      <c r="H1051" s="1371"/>
      <c r="I1051" s="1371"/>
      <c r="J1051" s="1371"/>
      <c r="K1051" s="1371"/>
      <c r="L1051" s="1372"/>
      <c r="M1051" s="1146"/>
      <c r="N1051" s="1103"/>
      <c r="O1051"/>
      <c r="P1051" s="159"/>
      <c r="Q1051" s="147"/>
      <c r="T1051" s="149"/>
    </row>
    <row r="1052" spans="1:24" ht="30" customHeight="1">
      <c r="A1052" s="1428" t="s">
        <v>318</v>
      </c>
      <c r="B1052" s="1429"/>
      <c r="C1052" s="1430"/>
      <c r="D1052" s="1270" t="s">
        <v>924</v>
      </c>
      <c r="E1052" s="1371"/>
      <c r="F1052" s="1371"/>
      <c r="G1052" s="1371"/>
      <c r="H1052" s="1371"/>
      <c r="I1052" s="1371"/>
      <c r="J1052" s="1371"/>
      <c r="K1052" s="1371"/>
      <c r="L1052" s="1372"/>
      <c r="M1052" s="1146"/>
      <c r="N1052" s="1103"/>
      <c r="O1052"/>
      <c r="P1052" s="159"/>
      <c r="Q1052" s="147"/>
      <c r="T1052" s="149"/>
    </row>
    <row r="1053" spans="1:24" ht="30" customHeight="1">
      <c r="A1053" s="1428" t="s">
        <v>320</v>
      </c>
      <c r="B1053" s="1429"/>
      <c r="C1053" s="1430"/>
      <c r="D1053" s="1270" t="s">
        <v>925</v>
      </c>
      <c r="E1053" s="1371"/>
      <c r="F1053" s="1371"/>
      <c r="G1053" s="1371"/>
      <c r="H1053" s="1371"/>
      <c r="I1053" s="1371"/>
      <c r="J1053" s="1371"/>
      <c r="K1053" s="1371"/>
      <c r="L1053" s="1372"/>
      <c r="M1053" s="1146"/>
      <c r="N1053" s="1103"/>
      <c r="O1053"/>
      <c r="P1053" s="159"/>
      <c r="Q1053" s="147"/>
      <c r="T1053" s="149"/>
    </row>
    <row r="1054" spans="1:24" ht="30" customHeight="1">
      <c r="A1054" s="1428" t="s">
        <v>322</v>
      </c>
      <c r="B1054" s="1429"/>
      <c r="C1054" s="1430"/>
      <c r="D1054" s="1270" t="s">
        <v>926</v>
      </c>
      <c r="E1054" s="1371"/>
      <c r="F1054" s="1371"/>
      <c r="G1054" s="1371"/>
      <c r="H1054" s="1371"/>
      <c r="I1054" s="1371"/>
      <c r="J1054" s="1371"/>
      <c r="K1054" s="1371"/>
      <c r="L1054" s="1372"/>
      <c r="M1054" s="1146"/>
      <c r="N1054" s="1103"/>
      <c r="O1054"/>
      <c r="P1054" s="159"/>
      <c r="Q1054" s="147"/>
      <c r="T1054" s="149"/>
    </row>
    <row r="1055" spans="1:24" ht="30" customHeight="1">
      <c r="A1055" s="1428" t="s">
        <v>324</v>
      </c>
      <c r="B1055" s="1429"/>
      <c r="C1055" s="1430"/>
      <c r="D1055" s="1270" t="s">
        <v>927</v>
      </c>
      <c r="E1055" s="1371"/>
      <c r="F1055" s="1371"/>
      <c r="G1055" s="1371"/>
      <c r="H1055" s="1371"/>
      <c r="I1055" s="1371"/>
      <c r="J1055" s="1371"/>
      <c r="K1055" s="1371"/>
      <c r="L1055" s="1372"/>
      <c r="M1055" s="1146"/>
      <c r="N1055" s="1103"/>
      <c r="O1055"/>
      <c r="P1055" s="159"/>
      <c r="Q1055" s="147"/>
      <c r="T1055" s="149"/>
    </row>
    <row r="1056" spans="1:24" ht="60" customHeight="1">
      <c r="A1056" s="1428" t="s">
        <v>499</v>
      </c>
      <c r="B1056" s="1429"/>
      <c r="C1056" s="1430"/>
      <c r="D1056" s="1422" t="s">
        <v>928</v>
      </c>
      <c r="E1056" s="1423"/>
      <c r="F1056" s="1423"/>
      <c r="G1056" s="1423"/>
      <c r="H1056" s="1423"/>
      <c r="I1056" s="1423"/>
      <c r="J1056" s="1423"/>
      <c r="K1056" s="1423"/>
      <c r="L1056" s="1424"/>
      <c r="M1056" s="1146"/>
      <c r="N1056" s="1103"/>
      <c r="O1056"/>
      <c r="P1056" s="159"/>
      <c r="Q1056" s="147"/>
      <c r="T1056" s="149"/>
      <c r="U1056" s="38"/>
      <c r="V1056" s="38"/>
      <c r="W1056" s="38"/>
      <c r="X1056" s="38"/>
    </row>
    <row r="1057" spans="1:24" s="38" customFormat="1" ht="60" customHeight="1" thickBot="1">
      <c r="A1057" s="1331" t="s">
        <v>327</v>
      </c>
      <c r="B1057" s="1256"/>
      <c r="C1057" s="1257"/>
      <c r="D1057" s="1270" t="s">
        <v>2541</v>
      </c>
      <c r="E1057" s="1371"/>
      <c r="F1057" s="1371"/>
      <c r="G1057" s="1371"/>
      <c r="H1057" s="1371"/>
      <c r="I1057" s="1371"/>
      <c r="J1057" s="1371"/>
      <c r="K1057" s="1371"/>
      <c r="L1057" s="1372"/>
      <c r="M1057" s="1146"/>
      <c r="N1057" s="1103"/>
      <c r="P1057" s="159"/>
      <c r="Q1057" s="147"/>
      <c r="T1057" s="149"/>
      <c r="U1057"/>
      <c r="V1057"/>
      <c r="W1057"/>
      <c r="X1057"/>
    </row>
    <row r="1058" spans="1:24" ht="30" customHeight="1" thickBot="1">
      <c r="A1058" s="1165"/>
      <c r="B1058" s="1166"/>
      <c r="C1058" s="1166"/>
      <c r="D1058" s="1166"/>
      <c r="E1058" s="1166"/>
      <c r="F1058" s="1166"/>
      <c r="G1058" s="1166"/>
      <c r="H1058" s="1166"/>
      <c r="I1058" s="1166"/>
      <c r="J1058" s="1166"/>
      <c r="K1058" s="1166"/>
      <c r="L1058" s="1167"/>
      <c r="M1058" s="1146"/>
      <c r="N1058" s="1103"/>
      <c r="O1058"/>
      <c r="P1058" s="159"/>
      <c r="Q1058" s="147"/>
      <c r="T1058" s="149"/>
    </row>
    <row r="1059" spans="1:24" ht="75" customHeight="1">
      <c r="A1059" s="27" t="s">
        <v>280</v>
      </c>
      <c r="B1059" s="82">
        <v>1796</v>
      </c>
      <c r="C1059" s="1197" t="s">
        <v>929</v>
      </c>
      <c r="D1059" s="1198"/>
      <c r="E1059" s="74" t="s">
        <v>282</v>
      </c>
      <c r="F1059" s="75" t="s">
        <v>8</v>
      </c>
      <c r="G1059" s="58" t="s">
        <v>290</v>
      </c>
      <c r="H1059" s="215">
        <v>67820</v>
      </c>
      <c r="I1059" s="74" t="s">
        <v>283</v>
      </c>
      <c r="J1059" s="1199" t="s">
        <v>2611</v>
      </c>
      <c r="K1059" s="1199"/>
      <c r="L1059" s="1200"/>
      <c r="M1059" s="1146"/>
      <c r="N1059" s="1103"/>
      <c r="O1059"/>
      <c r="P1059" s="159"/>
      <c r="Q1059" s="147"/>
      <c r="T1059" s="149"/>
    </row>
    <row r="1060" spans="1:24" ht="30" customHeight="1">
      <c r="A1060" s="35" t="s">
        <v>597</v>
      </c>
      <c r="B1060" s="1201" t="s">
        <v>330</v>
      </c>
      <c r="C1060" s="1202"/>
      <c r="D1060" s="1203"/>
      <c r="E1060" s="150" t="s">
        <v>295</v>
      </c>
      <c r="F1060" s="150" t="s">
        <v>331</v>
      </c>
      <c r="G1060" s="1204" t="s">
        <v>332</v>
      </c>
      <c r="H1060" s="1205"/>
      <c r="I1060" s="77" t="s">
        <v>305</v>
      </c>
      <c r="J1060" s="151" t="s">
        <v>308</v>
      </c>
      <c r="K1060" s="1206" t="s">
        <v>297</v>
      </c>
      <c r="L1060" s="1207"/>
      <c r="M1060" s="1146"/>
      <c r="N1060" s="1103"/>
      <c r="O1060"/>
      <c r="P1060" s="159"/>
      <c r="Q1060" s="147"/>
      <c r="T1060" s="149"/>
    </row>
    <row r="1061" spans="1:24" ht="30" customHeight="1">
      <c r="A1061" s="45" t="s">
        <v>624</v>
      </c>
      <c r="B1061" s="1176" t="s">
        <v>930</v>
      </c>
      <c r="C1061" s="1177"/>
      <c r="D1061" s="1178"/>
      <c r="E1061" s="378">
        <f>+P889</f>
        <v>18.05</v>
      </c>
      <c r="F1061" s="317" t="s">
        <v>8</v>
      </c>
      <c r="G1061" s="394"/>
      <c r="H1061" s="252"/>
      <c r="I1061" s="326">
        <f>+R889</f>
        <v>1.1000000000000001</v>
      </c>
      <c r="J1061" s="326">
        <f>+S889</f>
        <v>0.99065420560747663</v>
      </c>
      <c r="K1061" s="153">
        <f>+E1061*I1061*J1061</f>
        <v>19.669439252336453</v>
      </c>
      <c r="L1061" s="20" t="s">
        <v>8</v>
      </c>
      <c r="M1061" s="1146"/>
      <c r="N1061" s="1103"/>
      <c r="O1061"/>
      <c r="P1061" s="159"/>
      <c r="Q1061" s="147"/>
      <c r="T1061" s="149"/>
    </row>
    <row r="1062" spans="1:24" ht="30" customHeight="1">
      <c r="A1062" s="45" t="s">
        <v>480</v>
      </c>
      <c r="B1062" s="1176" t="s">
        <v>633</v>
      </c>
      <c r="C1062" s="1177"/>
      <c r="D1062" s="1178"/>
      <c r="E1062" s="241">
        <f>+P894</f>
        <v>4.6849999999999996</v>
      </c>
      <c r="F1062" s="317" t="s">
        <v>8</v>
      </c>
      <c r="G1062" s="394"/>
      <c r="H1062" s="252"/>
      <c r="I1062" s="326">
        <f>+R894</f>
        <v>1.07</v>
      </c>
      <c r="J1062" s="326">
        <f>+S894</f>
        <v>0.99065420560747663</v>
      </c>
      <c r="K1062" s="153">
        <f>+E1062*I1062*J1062</f>
        <v>4.9661</v>
      </c>
      <c r="L1062" s="20" t="s">
        <v>8</v>
      </c>
      <c r="M1062" s="1146"/>
      <c r="N1062" s="998"/>
      <c r="O1062"/>
      <c r="P1062" s="159"/>
      <c r="Q1062" s="147"/>
      <c r="T1062" s="149"/>
    </row>
    <row r="1063" spans="1:24" ht="30" customHeight="1">
      <c r="A1063" s="45" t="s">
        <v>333</v>
      </c>
      <c r="B1063" s="1176" t="s">
        <v>931</v>
      </c>
      <c r="C1063" s="1177"/>
      <c r="D1063" s="1178"/>
      <c r="E1063" s="378">
        <f>+P888</f>
        <v>46.25</v>
      </c>
      <c r="F1063" s="317" t="s">
        <v>8</v>
      </c>
      <c r="G1063" s="363"/>
      <c r="H1063" s="252"/>
      <c r="I1063" s="326">
        <f>+R888</f>
        <v>1.05</v>
      </c>
      <c r="J1063" s="326">
        <f>+S888</f>
        <v>0.99065420560747663</v>
      </c>
      <c r="K1063" s="153">
        <f>+E1063*I1063*J1063</f>
        <v>48.108644859813083</v>
      </c>
      <c r="L1063" s="20" t="s">
        <v>8</v>
      </c>
      <c r="M1063" s="1146"/>
      <c r="N1063" s="1103"/>
      <c r="O1063"/>
      <c r="P1063" s="159"/>
      <c r="Q1063" s="147"/>
      <c r="T1063" s="149"/>
    </row>
    <row r="1064" spans="1:24" ht="30" customHeight="1">
      <c r="A1064" s="45"/>
      <c r="B1064" s="422"/>
      <c r="C1064" s="423"/>
      <c r="D1064" s="424"/>
      <c r="E1064" s="21"/>
      <c r="F1064" s="262"/>
      <c r="G1064" s="365"/>
      <c r="H1064" s="259"/>
      <c r="I1064" s="1444" t="s">
        <v>367</v>
      </c>
      <c r="J1064" s="1445"/>
      <c r="K1064" s="153">
        <f>0.09*K1061+0.06*K1062+0.85*K1063</f>
        <v>42.960563663551405</v>
      </c>
      <c r="L1064" s="45" t="s">
        <v>8</v>
      </c>
      <c r="M1064" s="1146"/>
      <c r="N1064" s="1103"/>
      <c r="O1064"/>
      <c r="P1064" s="159"/>
      <c r="Q1064" s="147"/>
      <c r="T1064" s="149"/>
    </row>
    <row r="1065" spans="1:24" ht="30" customHeight="1">
      <c r="A1065" s="45" t="s">
        <v>600</v>
      </c>
      <c r="B1065" s="1188" t="s">
        <v>601</v>
      </c>
      <c r="C1065" s="1189"/>
      <c r="D1065" s="1190"/>
      <c r="E1065" s="354">
        <f>+P895</f>
        <v>439.5</v>
      </c>
      <c r="F1065" s="317" t="s">
        <v>10</v>
      </c>
      <c r="G1065" s="363">
        <v>2.5000000000000001E-2</v>
      </c>
      <c r="H1065" s="252" t="s">
        <v>932</v>
      </c>
      <c r="I1065" s="326">
        <f>+R895</f>
        <v>1.07</v>
      </c>
      <c r="J1065" s="326">
        <f>+S895</f>
        <v>0.99065420560747663</v>
      </c>
      <c r="K1065" s="213">
        <f>+E1065*G1065*I1065*J1065</f>
        <v>11.646750000000001</v>
      </c>
      <c r="L1065" s="45" t="s">
        <v>8</v>
      </c>
      <c r="M1065" s="1146"/>
      <c r="N1065" s="1103"/>
      <c r="O1065"/>
      <c r="P1065" s="159"/>
      <c r="Q1065" s="147"/>
      <c r="T1065" s="149"/>
    </row>
    <row r="1066" spans="1:24" ht="30" customHeight="1">
      <c r="A1066" s="45" t="s">
        <v>600</v>
      </c>
      <c r="B1066" s="1188" t="s">
        <v>603</v>
      </c>
      <c r="C1066" s="1189"/>
      <c r="D1066" s="1190"/>
      <c r="E1066" s="354">
        <f>+P897</f>
        <v>316</v>
      </c>
      <c r="F1066" s="317" t="s">
        <v>10</v>
      </c>
      <c r="G1066" s="363">
        <v>2.5000000000000001E-2</v>
      </c>
      <c r="H1066" s="252" t="s">
        <v>932</v>
      </c>
      <c r="I1066" s="326">
        <f>+R897</f>
        <v>1.07</v>
      </c>
      <c r="J1066" s="326">
        <f>+S897</f>
        <v>0.99065420560747663</v>
      </c>
      <c r="K1066" s="213">
        <f>+E1066*G1066*I1066*J1066</f>
        <v>8.3740000000000006</v>
      </c>
      <c r="L1066" s="45" t="s">
        <v>8</v>
      </c>
      <c r="M1066" s="1146"/>
      <c r="N1066" s="1103"/>
      <c r="O1066"/>
      <c r="P1066" s="159"/>
      <c r="Q1066" s="147"/>
      <c r="T1066" s="149"/>
    </row>
    <row r="1067" spans="1:24" ht="30" customHeight="1">
      <c r="A1067" s="45" t="s">
        <v>606</v>
      </c>
      <c r="B1067" s="1188" t="s">
        <v>933</v>
      </c>
      <c r="C1067" s="1189"/>
      <c r="D1067" s="1190"/>
      <c r="E1067" s="354">
        <f>+P901</f>
        <v>17.110000000000003</v>
      </c>
      <c r="F1067" s="317" t="s">
        <v>6</v>
      </c>
      <c r="G1067" s="425">
        <f>2400/19600</f>
        <v>0.12244897959183673</v>
      </c>
      <c r="H1067" s="252" t="s">
        <v>934</v>
      </c>
      <c r="I1067" s="326">
        <f>+R901</f>
        <v>1.07</v>
      </c>
      <c r="J1067" s="326">
        <f>+S901</f>
        <v>0.99065420560747663</v>
      </c>
      <c r="K1067" s="426">
        <f>+E1067*G1067*I1067*J1067</f>
        <v>2.2208081632653065</v>
      </c>
      <c r="L1067" s="45" t="s">
        <v>8</v>
      </c>
      <c r="M1067" s="1146"/>
      <c r="N1067" s="1103"/>
      <c r="O1067"/>
      <c r="P1067" s="159"/>
      <c r="Q1067" s="147"/>
      <c r="T1067" s="149"/>
    </row>
    <row r="1068" spans="1:24" ht="30" customHeight="1">
      <c r="A1068" s="45">
        <v>85110</v>
      </c>
      <c r="B1068" s="1188" t="s">
        <v>935</v>
      </c>
      <c r="C1068" s="1189"/>
      <c r="D1068" s="1190"/>
      <c r="E1068" s="354">
        <f>+P909</f>
        <v>58</v>
      </c>
      <c r="F1068" s="20" t="s">
        <v>3</v>
      </c>
      <c r="G1068" s="363">
        <v>1.01</v>
      </c>
      <c r="H1068" s="252" t="s">
        <v>936</v>
      </c>
      <c r="I1068" s="383">
        <f>+R909</f>
        <v>0.94232233454704462</v>
      </c>
      <c r="J1068" s="20"/>
      <c r="K1068" s="427">
        <f>+E1068*G1068*I1068</f>
        <v>55.201242357765871</v>
      </c>
      <c r="L1068" s="20" t="s">
        <v>8</v>
      </c>
      <c r="M1068" s="1146"/>
      <c r="N1068" s="1103"/>
      <c r="O1068"/>
      <c r="P1068" s="159"/>
      <c r="Q1068" s="147"/>
      <c r="T1068" s="149"/>
    </row>
    <row r="1069" spans="1:24" ht="30" customHeight="1">
      <c r="A1069" s="45">
        <v>85110</v>
      </c>
      <c r="B1069" s="1188" t="s">
        <v>937</v>
      </c>
      <c r="C1069" s="1189"/>
      <c r="D1069" s="1190"/>
      <c r="E1069" s="354">
        <f>+P908</f>
        <v>18.5</v>
      </c>
      <c r="F1069" s="317" t="s">
        <v>3</v>
      </c>
      <c r="G1069" s="363">
        <v>0.69</v>
      </c>
      <c r="H1069" s="252" t="s">
        <v>936</v>
      </c>
      <c r="I1069" s="383">
        <f>+R908</f>
        <v>0.94232233454704462</v>
      </c>
      <c r="J1069" s="20"/>
      <c r="K1069" s="427">
        <f>+E1069*G1069*I1069</f>
        <v>12.028744600493024</v>
      </c>
      <c r="L1069" s="20" t="s">
        <v>8</v>
      </c>
      <c r="M1069" s="1146"/>
      <c r="N1069" s="1103"/>
      <c r="O1069"/>
      <c r="P1069" s="159"/>
      <c r="Q1069" s="147"/>
      <c r="T1069" s="149"/>
    </row>
    <row r="1070" spans="1:24" ht="30" customHeight="1">
      <c r="A1070" s="45" t="s">
        <v>482</v>
      </c>
      <c r="B1070" s="1188" t="s">
        <v>938</v>
      </c>
      <c r="C1070" s="1189"/>
      <c r="D1070" s="1190"/>
      <c r="E1070" s="428">
        <f>+P907</f>
        <v>27</v>
      </c>
      <c r="F1070" s="22" t="s">
        <v>209</v>
      </c>
      <c r="G1070" s="429">
        <v>0.9</v>
      </c>
      <c r="H1070" s="333" t="s">
        <v>939</v>
      </c>
      <c r="I1070" s="20">
        <f>+R907</f>
        <v>1.07</v>
      </c>
      <c r="J1070" s="326">
        <f>+S907</f>
        <v>0.99065420560747663</v>
      </c>
      <c r="K1070" s="428">
        <f>+E1070*G1070*I1070*J1070</f>
        <v>25.758000000000003</v>
      </c>
      <c r="L1070" s="22" t="s">
        <v>8</v>
      </c>
      <c r="M1070" s="1146"/>
      <c r="N1070" s="1103"/>
      <c r="O1070"/>
      <c r="P1070" s="159"/>
      <c r="Q1070" s="147"/>
      <c r="T1070" s="149"/>
    </row>
    <row r="1071" spans="1:24" ht="30" customHeight="1">
      <c r="A1071" s="45" t="s">
        <v>538</v>
      </c>
      <c r="B1071" s="1188" t="s">
        <v>940</v>
      </c>
      <c r="C1071" s="1189"/>
      <c r="D1071" s="1190"/>
      <c r="E1071" s="241">
        <f>+P891</f>
        <v>9.15</v>
      </c>
      <c r="F1071" s="317" t="s">
        <v>8</v>
      </c>
      <c r="G1071" s="363">
        <v>0.22</v>
      </c>
      <c r="H1071" s="252" t="s">
        <v>932</v>
      </c>
      <c r="I1071" s="20">
        <f>R891</f>
        <v>1.05</v>
      </c>
      <c r="J1071" s="326">
        <f>+S891</f>
        <v>0.99065420560747663</v>
      </c>
      <c r="K1071" s="427">
        <f>+E1071*G1071*I1071*J1071</f>
        <v>2.093896261682243</v>
      </c>
      <c r="L1071" s="20" t="s">
        <v>8</v>
      </c>
      <c r="M1071" s="1146"/>
      <c r="N1071" s="1103"/>
      <c r="O1071"/>
      <c r="P1071" s="159"/>
      <c r="Q1071" s="147"/>
      <c r="T1071" s="149"/>
    </row>
    <row r="1072" spans="1:24" ht="30" customHeight="1">
      <c r="A1072" s="45">
        <v>93210</v>
      </c>
      <c r="B1072" s="1188" t="s">
        <v>941</v>
      </c>
      <c r="C1072" s="1189"/>
      <c r="D1072" s="1190"/>
      <c r="E1072" s="354">
        <f>+P912</f>
        <v>45.8</v>
      </c>
      <c r="F1072" s="317" t="s">
        <v>285</v>
      </c>
      <c r="G1072" s="425">
        <v>0.217</v>
      </c>
      <c r="H1072" s="252" t="s">
        <v>942</v>
      </c>
      <c r="I1072" s="383">
        <f>+R912</f>
        <v>0.94232233454704462</v>
      </c>
      <c r="J1072" s="20"/>
      <c r="K1072" s="427">
        <f>+E1072*G1072*I1072</f>
        <v>9.3653647541292564</v>
      </c>
      <c r="L1072" s="20" t="s">
        <v>8</v>
      </c>
      <c r="M1072" s="1146"/>
      <c r="N1072" s="1103"/>
      <c r="O1072"/>
      <c r="P1072" s="159"/>
      <c r="Q1072" s="147"/>
      <c r="T1072" s="149"/>
    </row>
    <row r="1073" spans="1:24" ht="30" customHeight="1">
      <c r="A1073" s="45">
        <v>93410</v>
      </c>
      <c r="B1073" s="1188" t="s">
        <v>943</v>
      </c>
      <c r="C1073" s="1189"/>
      <c r="D1073" s="1190"/>
      <c r="E1073" s="354">
        <f>+P910</f>
        <v>8.1999999999999993</v>
      </c>
      <c r="F1073" s="317" t="s">
        <v>285</v>
      </c>
      <c r="G1073" s="425">
        <v>0.10306122448979592</v>
      </c>
      <c r="H1073" s="252" t="s">
        <v>942</v>
      </c>
      <c r="I1073" s="386">
        <f>+R910</f>
        <v>0.94232233454704462</v>
      </c>
      <c r="J1073" s="20"/>
      <c r="K1073" s="153">
        <f>+E1073*G1073*I1073</f>
        <v>0.7963585280325125</v>
      </c>
      <c r="L1073" s="20" t="s">
        <v>8</v>
      </c>
      <c r="M1073" s="1146"/>
      <c r="N1073" s="1103"/>
      <c r="O1073"/>
      <c r="P1073" s="159"/>
      <c r="Q1073" s="147"/>
      <c r="T1073" s="149"/>
    </row>
    <row r="1074" spans="1:24" ht="30" customHeight="1">
      <c r="A1074" s="45"/>
      <c r="B1074" s="1307"/>
      <c r="C1074" s="1307"/>
      <c r="D1074" s="1307"/>
      <c r="E1074" s="153"/>
      <c r="F1074" s="20"/>
      <c r="G1074" s="395"/>
      <c r="H1074" s="329"/>
      <c r="I1074" s="20"/>
      <c r="J1074" s="20" t="s">
        <v>379</v>
      </c>
      <c r="K1074" s="427">
        <f>SUM(K1064:K1073)</f>
        <v>170.44572832891959</v>
      </c>
      <c r="L1074" s="20" t="s">
        <v>8</v>
      </c>
      <c r="M1074" s="1146"/>
      <c r="N1074" s="1103"/>
      <c r="O1074"/>
      <c r="P1074" s="159"/>
      <c r="Q1074" s="147"/>
      <c r="T1074" s="149"/>
      <c r="U1074" s="38"/>
      <c r="V1074" s="38"/>
      <c r="W1074" s="38"/>
      <c r="X1074" s="38"/>
    </row>
    <row r="1075" spans="1:24" s="38" customFormat="1" ht="30" customHeight="1">
      <c r="A1075" s="45"/>
      <c r="B1075" s="45"/>
      <c r="C1075" s="46"/>
      <c r="D1075" s="46"/>
      <c r="E1075" s="18"/>
      <c r="F1075" s="18"/>
      <c r="G1075" s="18"/>
      <c r="H1075" s="18"/>
      <c r="I1075" s="18"/>
      <c r="J1075" s="20" t="s">
        <v>289</v>
      </c>
      <c r="K1075" s="23">
        <f>+K1074</f>
        <v>170.44572832891959</v>
      </c>
      <c r="L1075" s="20" t="s">
        <v>8</v>
      </c>
      <c r="M1075" s="1146"/>
      <c r="N1075" s="1103"/>
      <c r="P1075" s="159"/>
      <c r="Q1075" s="147"/>
      <c r="T1075" s="149"/>
      <c r="U1075"/>
      <c r="V1075"/>
      <c r="W1075"/>
      <c r="X1075"/>
    </row>
    <row r="1076" spans="1:24" ht="30" customHeight="1">
      <c r="A1076" s="24"/>
      <c r="B1076" s="24"/>
      <c r="C1076" s="47"/>
      <c r="D1076" s="47"/>
      <c r="E1076" s="13"/>
      <c r="F1076" s="13"/>
      <c r="G1076" s="160" t="s">
        <v>312</v>
      </c>
      <c r="H1076" s="13"/>
      <c r="I1076" s="13"/>
      <c r="J1076" s="139">
        <f>VLOOKUP(B1059,'Mil Cost Premiums for RUCs'!$A$4:$R$266,18,FALSE)</f>
        <v>1.0821211439999998</v>
      </c>
      <c r="K1076" s="14">
        <f>+K1075*J1076</f>
        <v>184.44292652920365</v>
      </c>
      <c r="L1076" s="10" t="s">
        <v>8</v>
      </c>
      <c r="M1076" s="1146"/>
      <c r="N1076" s="1103"/>
      <c r="O1076"/>
      <c r="P1076" s="159"/>
      <c r="Q1076" s="147"/>
      <c r="T1076" s="149"/>
    </row>
    <row r="1077" spans="1:24" ht="60" customHeight="1">
      <c r="A1077" s="1337" t="s">
        <v>313</v>
      </c>
      <c r="B1077" s="1338"/>
      <c r="C1077" s="1338"/>
      <c r="D1077" s="1338"/>
      <c r="E1077" s="1338"/>
      <c r="F1077" s="1338"/>
      <c r="G1077" s="1338"/>
      <c r="H1077" s="1338"/>
      <c r="I1077" s="1338"/>
      <c r="J1077" s="1338"/>
      <c r="K1077" s="1338"/>
      <c r="L1077" s="1339"/>
      <c r="M1077" s="1146"/>
      <c r="N1077" s="1103"/>
      <c r="O1077"/>
      <c r="P1077" s="159"/>
      <c r="Q1077" s="147"/>
      <c r="T1077" s="149"/>
    </row>
    <row r="1078" spans="1:24" ht="30" customHeight="1">
      <c r="A1078" s="1428" t="s">
        <v>314</v>
      </c>
      <c r="B1078" s="1429"/>
      <c r="C1078" s="1430"/>
      <c r="D1078" s="1336" t="s">
        <v>944</v>
      </c>
      <c r="E1078" s="1315"/>
      <c r="F1078" s="1315"/>
      <c r="G1078" s="1315"/>
      <c r="H1078" s="1315"/>
      <c r="I1078" s="1315"/>
      <c r="J1078" s="1315"/>
      <c r="K1078" s="1315"/>
      <c r="L1078" s="1316"/>
      <c r="M1078" s="1146"/>
      <c r="N1078" s="1103"/>
      <c r="O1078"/>
      <c r="P1078" s="159"/>
      <c r="Q1078" s="147"/>
      <c r="T1078" s="149"/>
    </row>
    <row r="1079" spans="1:24" ht="30" customHeight="1">
      <c r="A1079" s="1428" t="s">
        <v>316</v>
      </c>
      <c r="B1079" s="1429"/>
      <c r="C1079" s="1430"/>
      <c r="D1079" s="1337" t="s">
        <v>945</v>
      </c>
      <c r="E1079" s="1338"/>
      <c r="F1079" s="1338"/>
      <c r="G1079" s="1338"/>
      <c r="H1079" s="1338"/>
      <c r="I1079" s="1338"/>
      <c r="J1079" s="1338"/>
      <c r="K1079" s="1338"/>
      <c r="L1079" s="1339"/>
      <c r="M1079" s="1146"/>
      <c r="N1079" s="1103"/>
      <c r="O1079"/>
      <c r="P1079" s="159"/>
      <c r="Q1079" s="147"/>
      <c r="T1079" s="149"/>
    </row>
    <row r="1080" spans="1:24" ht="75" customHeight="1">
      <c r="A1080" s="1428" t="s">
        <v>317</v>
      </c>
      <c r="B1080" s="1429"/>
      <c r="C1080" s="1430"/>
      <c r="D1080" s="1336" t="s">
        <v>2641</v>
      </c>
      <c r="E1080" s="1315"/>
      <c r="F1080" s="1315"/>
      <c r="G1080" s="1315"/>
      <c r="H1080" s="1315"/>
      <c r="I1080" s="1315"/>
      <c r="J1080" s="1315"/>
      <c r="K1080" s="1315"/>
      <c r="L1080" s="1316"/>
      <c r="M1080" s="1146"/>
      <c r="O1080"/>
      <c r="P1080" s="159"/>
      <c r="Q1080" s="147"/>
      <c r="T1080" s="149"/>
    </row>
    <row r="1081" spans="1:24" ht="30" customHeight="1">
      <c r="A1081" s="1428" t="s">
        <v>318</v>
      </c>
      <c r="B1081" s="1429"/>
      <c r="C1081" s="1430"/>
      <c r="D1081" s="1337" t="s">
        <v>946</v>
      </c>
      <c r="E1081" s="1338"/>
      <c r="F1081" s="1338"/>
      <c r="G1081" s="1338"/>
      <c r="H1081" s="1338"/>
      <c r="I1081" s="1338"/>
      <c r="J1081" s="1338"/>
      <c r="K1081" s="1338"/>
      <c r="L1081" s="1339"/>
      <c r="M1081" s="1146"/>
      <c r="N1081" s="1103"/>
      <c r="O1081"/>
      <c r="P1081" s="159"/>
      <c r="Q1081" s="147"/>
      <c r="T1081" s="149"/>
    </row>
    <row r="1082" spans="1:24" ht="30" customHeight="1">
      <c r="A1082" s="1428" t="s">
        <v>320</v>
      </c>
      <c r="B1082" s="1429"/>
      <c r="C1082" s="1430"/>
      <c r="D1082" s="1337" t="s">
        <v>947</v>
      </c>
      <c r="E1082" s="1338"/>
      <c r="F1082" s="1338"/>
      <c r="G1082" s="1338"/>
      <c r="H1082" s="1338"/>
      <c r="I1082" s="1338"/>
      <c r="J1082" s="1338"/>
      <c r="K1082" s="1338"/>
      <c r="L1082" s="1339"/>
      <c r="M1082" s="1146"/>
      <c r="N1082" s="405"/>
      <c r="O1082"/>
      <c r="P1082" s="159"/>
      <c r="Q1082" s="147"/>
      <c r="T1082" s="149"/>
    </row>
    <row r="1083" spans="1:24" ht="30" customHeight="1">
      <c r="A1083" s="1428" t="s">
        <v>322</v>
      </c>
      <c r="B1083" s="1429"/>
      <c r="C1083" s="1430"/>
      <c r="D1083" s="1425" t="s">
        <v>948</v>
      </c>
      <c r="E1083" s="1373"/>
      <c r="F1083" s="1373"/>
      <c r="G1083" s="1373"/>
      <c r="H1083" s="1373"/>
      <c r="I1083" s="1373"/>
      <c r="J1083" s="1373"/>
      <c r="K1083" s="1373"/>
      <c r="L1083" s="1374"/>
      <c r="M1083" s="1146"/>
      <c r="N1083" s="405"/>
      <c r="O1083"/>
      <c r="P1083" s="159"/>
      <c r="Q1083" s="147"/>
      <c r="T1083" s="149"/>
    </row>
    <row r="1084" spans="1:24" ht="30" customHeight="1">
      <c r="A1084" s="1428" t="s">
        <v>324</v>
      </c>
      <c r="B1084" s="1429"/>
      <c r="C1084" s="1430"/>
      <c r="D1084" s="1425" t="s">
        <v>949</v>
      </c>
      <c r="E1084" s="1373"/>
      <c r="F1084" s="1373"/>
      <c r="G1084" s="1373"/>
      <c r="H1084" s="1373"/>
      <c r="I1084" s="1373"/>
      <c r="J1084" s="1373"/>
      <c r="K1084" s="1373"/>
      <c r="L1084" s="1374"/>
      <c r="M1084" s="1146"/>
      <c r="N1084" s="1103"/>
      <c r="O1084"/>
      <c r="P1084" s="159"/>
      <c r="Q1084" s="147"/>
      <c r="T1084" s="149"/>
    </row>
    <row r="1085" spans="1:24" ht="90" customHeight="1">
      <c r="A1085" s="1428" t="s">
        <v>499</v>
      </c>
      <c r="B1085" s="1429"/>
      <c r="C1085" s="1430"/>
      <c r="D1085" s="1422" t="s">
        <v>950</v>
      </c>
      <c r="E1085" s="1423"/>
      <c r="F1085" s="1423"/>
      <c r="G1085" s="1423"/>
      <c r="H1085" s="1423"/>
      <c r="I1085" s="1423"/>
      <c r="J1085" s="1423"/>
      <c r="K1085" s="1423"/>
      <c r="L1085" s="1424"/>
      <c r="M1085" s="1146"/>
      <c r="N1085" s="1103"/>
      <c r="O1085"/>
      <c r="P1085" s="159"/>
      <c r="Q1085" s="147"/>
      <c r="T1085" s="149"/>
    </row>
    <row r="1086" spans="1:24" ht="45" customHeight="1" thickBot="1">
      <c r="A1086" s="1331" t="s">
        <v>327</v>
      </c>
      <c r="B1086" s="1256"/>
      <c r="C1086" s="1257"/>
      <c r="D1086" s="1337" t="s">
        <v>2540</v>
      </c>
      <c r="E1086" s="1338"/>
      <c r="F1086" s="1338"/>
      <c r="G1086" s="1338"/>
      <c r="H1086" s="1338"/>
      <c r="I1086" s="1338"/>
      <c r="J1086" s="1338"/>
      <c r="K1086" s="1338"/>
      <c r="L1086" s="1339"/>
      <c r="M1086" s="1146"/>
      <c r="N1086" s="1103"/>
      <c r="O1086"/>
      <c r="P1086" s="159"/>
      <c r="Q1086" s="147"/>
      <c r="T1086" s="149"/>
    </row>
    <row r="1087" spans="1:24" ht="30" customHeight="1" thickBot="1">
      <c r="A1087" s="1165"/>
      <c r="B1087" s="1166"/>
      <c r="C1087" s="1166"/>
      <c r="D1087" s="1166"/>
      <c r="E1087" s="1166"/>
      <c r="F1087" s="1166"/>
      <c r="G1087" s="1166"/>
      <c r="H1087" s="1166"/>
      <c r="I1087" s="1166"/>
      <c r="J1087" s="1166"/>
      <c r="K1087" s="1166"/>
      <c r="L1087" s="1167"/>
      <c r="M1087" s="1146"/>
      <c r="N1087" s="1103"/>
      <c r="O1087"/>
      <c r="P1087" s="159"/>
      <c r="Q1087" s="147"/>
      <c r="T1087" s="149"/>
    </row>
    <row r="1088" spans="1:24" ht="75" customHeight="1">
      <c r="A1088" s="27" t="s">
        <v>280</v>
      </c>
      <c r="B1088" s="28">
        <v>1797</v>
      </c>
      <c r="C1088" s="1393" t="s">
        <v>951</v>
      </c>
      <c r="D1088" s="1394"/>
      <c r="E1088" s="30" t="s">
        <v>282</v>
      </c>
      <c r="F1088" s="31" t="s">
        <v>37</v>
      </c>
      <c r="G1088" s="70" t="s">
        <v>952</v>
      </c>
      <c r="H1088" s="186">
        <v>1</v>
      </c>
      <c r="I1088" s="30" t="s">
        <v>283</v>
      </c>
      <c r="J1088" s="1199" t="s">
        <v>2611</v>
      </c>
      <c r="K1088" s="1199"/>
      <c r="L1088" s="1200"/>
      <c r="M1088" s="1146"/>
      <c r="N1088" s="1103"/>
      <c r="O1088"/>
      <c r="P1088" s="159"/>
      <c r="Q1088" s="147"/>
      <c r="T1088" s="149"/>
    </row>
    <row r="1089" spans="1:24" ht="30" customHeight="1">
      <c r="A1089" s="35" t="s">
        <v>597</v>
      </c>
      <c r="B1089" s="1300" t="s">
        <v>330</v>
      </c>
      <c r="C1089" s="1301"/>
      <c r="D1089" s="1302"/>
      <c r="E1089" s="362" t="s">
        <v>295</v>
      </c>
      <c r="F1089" s="362" t="s">
        <v>331</v>
      </c>
      <c r="G1089" s="1356" t="s">
        <v>332</v>
      </c>
      <c r="H1089" s="1357"/>
      <c r="I1089" s="77" t="s">
        <v>305</v>
      </c>
      <c r="J1089" s="285" t="s">
        <v>308</v>
      </c>
      <c r="K1089" s="1312" t="s">
        <v>297</v>
      </c>
      <c r="L1089" s="1313"/>
      <c r="M1089" s="1146"/>
      <c r="N1089" s="1103"/>
      <c r="O1089"/>
      <c r="P1089" s="159"/>
      <c r="Q1089" s="147"/>
      <c r="T1089" s="149"/>
      <c r="U1089" s="38"/>
      <c r="V1089" s="38"/>
      <c r="W1089" s="38"/>
      <c r="X1089" s="38"/>
    </row>
    <row r="1090" spans="1:24" s="38" customFormat="1" ht="30" customHeight="1">
      <c r="A1090" s="45" t="s">
        <v>538</v>
      </c>
      <c r="B1090" s="1188" t="s">
        <v>953</v>
      </c>
      <c r="C1090" s="1189"/>
      <c r="D1090" s="1190"/>
      <c r="E1090" s="241">
        <f>+P891</f>
        <v>9.15</v>
      </c>
      <c r="F1090" s="317" t="s">
        <v>8</v>
      </c>
      <c r="G1090" s="350">
        <v>104</v>
      </c>
      <c r="H1090" s="252" t="s">
        <v>599</v>
      </c>
      <c r="I1090" s="20">
        <f>+R891</f>
        <v>1.05</v>
      </c>
      <c r="J1090" s="326">
        <f>+S891</f>
        <v>0.99065420560747663</v>
      </c>
      <c r="K1090" s="153">
        <f>+E1090*G1090*I1090*J1090</f>
        <v>989.84186915887858</v>
      </c>
      <c r="L1090" s="45" t="s">
        <v>37</v>
      </c>
      <c r="M1090" s="1146"/>
      <c r="N1090" s="1103"/>
      <c r="P1090" s="159"/>
      <c r="Q1090" s="147"/>
      <c r="T1090" s="149"/>
      <c r="U1090"/>
      <c r="V1090"/>
      <c r="W1090"/>
      <c r="X1090"/>
    </row>
    <row r="1091" spans="1:24" ht="30" customHeight="1">
      <c r="A1091" s="45" t="s">
        <v>538</v>
      </c>
      <c r="B1091" s="1188" t="s">
        <v>954</v>
      </c>
      <c r="C1091" s="1189"/>
      <c r="D1091" s="1190"/>
      <c r="E1091" s="241">
        <f>+P891</f>
        <v>9.15</v>
      </c>
      <c r="F1091" s="317" t="s">
        <v>8</v>
      </c>
      <c r="G1091" s="350">
        <f>2*144</f>
        <v>288</v>
      </c>
      <c r="H1091" s="252" t="s">
        <v>599</v>
      </c>
      <c r="I1091" s="20">
        <f>+R891</f>
        <v>1.05</v>
      </c>
      <c r="J1091" s="326">
        <f>+S891</f>
        <v>0.99065420560747663</v>
      </c>
      <c r="K1091" s="153">
        <f>+E1091*G1091*I1091*J1091</f>
        <v>2741.1005607476641</v>
      </c>
      <c r="L1091" s="45" t="s">
        <v>37</v>
      </c>
      <c r="M1091" s="1146"/>
      <c r="N1091" s="1103"/>
      <c r="O1091"/>
      <c r="P1091" s="159"/>
      <c r="Q1091" s="147"/>
      <c r="T1091" s="149"/>
    </row>
    <row r="1092" spans="1:24" ht="30" customHeight="1">
      <c r="A1092" s="45">
        <v>93410</v>
      </c>
      <c r="B1092" s="1188" t="s">
        <v>955</v>
      </c>
      <c r="C1092" s="1189"/>
      <c r="D1092" s="1190"/>
      <c r="E1092" s="354">
        <f>+P910</f>
        <v>8.1999999999999993</v>
      </c>
      <c r="F1092" s="317" t="s">
        <v>285</v>
      </c>
      <c r="G1092" s="396">
        <f>2.6*4</f>
        <v>10.4</v>
      </c>
      <c r="H1092" s="252" t="s">
        <v>611</v>
      </c>
      <c r="I1092" s="383">
        <f>+R910</f>
        <v>0.94232233454704462</v>
      </c>
      <c r="J1092" s="20"/>
      <c r="K1092" s="153">
        <f>+E1092*G1092*I1092</f>
        <v>80.361248690171962</v>
      </c>
      <c r="L1092" s="45" t="s">
        <v>37</v>
      </c>
      <c r="M1092" s="1146"/>
      <c r="N1092" s="1103"/>
      <c r="O1092"/>
      <c r="P1092" s="159"/>
      <c r="Q1092" s="147"/>
      <c r="T1092" s="230"/>
      <c r="U1092" s="25"/>
      <c r="V1092" s="25"/>
      <c r="W1092" s="25"/>
      <c r="X1092" s="25"/>
    </row>
    <row r="1093" spans="1:24" s="25" customFormat="1" ht="30" customHeight="1">
      <c r="A1093" s="45">
        <v>93410</v>
      </c>
      <c r="B1093" s="1188" t="s">
        <v>956</v>
      </c>
      <c r="C1093" s="1189"/>
      <c r="D1093" s="1190"/>
      <c r="E1093" s="354">
        <f>+P910</f>
        <v>8.1999999999999993</v>
      </c>
      <c r="F1093" s="317" t="s">
        <v>285</v>
      </c>
      <c r="G1093" s="350">
        <v>26</v>
      </c>
      <c r="H1093" s="252" t="s">
        <v>611</v>
      </c>
      <c r="I1093" s="386">
        <f>+R910</f>
        <v>0.94232233454704462</v>
      </c>
      <c r="J1093" s="20"/>
      <c r="K1093" s="153">
        <f>+E1093*G1093*I1093</f>
        <v>200.90312172542991</v>
      </c>
      <c r="L1093" s="45" t="s">
        <v>37</v>
      </c>
      <c r="M1093" s="1146"/>
      <c r="N1093" s="1103"/>
      <c r="P1093" s="229"/>
      <c r="Q1093" s="1103"/>
      <c r="T1093" s="149"/>
      <c r="U1093"/>
      <c r="V1093"/>
      <c r="W1093"/>
      <c r="X1093"/>
    </row>
    <row r="1094" spans="1:24" ht="30" customHeight="1">
      <c r="A1094" s="45">
        <v>93210</v>
      </c>
      <c r="B1094" s="1188" t="s">
        <v>957</v>
      </c>
      <c r="C1094" s="1189"/>
      <c r="D1094" s="1190"/>
      <c r="E1094" s="354">
        <f>+P912</f>
        <v>45.8</v>
      </c>
      <c r="F1094" s="317" t="s">
        <v>285</v>
      </c>
      <c r="G1094" s="350">
        <v>26</v>
      </c>
      <c r="H1094" s="252" t="s">
        <v>611</v>
      </c>
      <c r="I1094" s="386">
        <f>+R912</f>
        <v>0.94232233454704462</v>
      </c>
      <c r="J1094" s="20"/>
      <c r="K1094" s="153">
        <f>+E1094*G1094*I1094</f>
        <v>1122.1174359786207</v>
      </c>
      <c r="L1094" s="45" t="s">
        <v>37</v>
      </c>
      <c r="M1094" s="1146"/>
      <c r="N1094" s="1103"/>
      <c r="O1094"/>
      <c r="P1094" s="159"/>
      <c r="Q1094" s="147"/>
      <c r="T1094" s="149"/>
    </row>
    <row r="1095" spans="1:24" ht="30" customHeight="1">
      <c r="A1095" s="45"/>
      <c r="B1095" s="1307"/>
      <c r="C1095" s="1307"/>
      <c r="D1095" s="1307"/>
      <c r="E1095" s="153"/>
      <c r="F1095" s="20"/>
      <c r="G1095" s="395"/>
      <c r="H1095" s="329"/>
      <c r="I1095" s="20"/>
      <c r="J1095" s="20" t="s">
        <v>379</v>
      </c>
      <c r="K1095" s="153">
        <f>SUM(K1090:K1094)</f>
        <v>5134.3242363007657</v>
      </c>
      <c r="L1095" s="45" t="s">
        <v>37</v>
      </c>
      <c r="M1095" s="1146"/>
      <c r="N1095" s="1103"/>
      <c r="O1095"/>
      <c r="P1095" s="159"/>
      <c r="Q1095" s="147"/>
      <c r="T1095" s="149"/>
    </row>
    <row r="1096" spans="1:24" ht="30" customHeight="1" thickBot="1">
      <c r="A1096" s="45"/>
      <c r="B1096" s="45"/>
      <c r="C1096" s="46"/>
      <c r="D1096" s="46"/>
      <c r="E1096" s="18"/>
      <c r="F1096" s="18"/>
      <c r="G1096" s="160" t="s">
        <v>312</v>
      </c>
      <c r="H1096" s="18"/>
      <c r="I1096" s="18"/>
      <c r="J1096" s="139">
        <f>VLOOKUP(B1088,'Mil Cost Premiums for RUCs'!$A$4:$R$266,18,FALSE)</f>
        <v>1.0485669999999998</v>
      </c>
      <c r="K1096" s="23">
        <f>+K1095*J1096</f>
        <v>5383.682961485184</v>
      </c>
      <c r="L1096" s="45" t="s">
        <v>37</v>
      </c>
      <c r="M1096" s="1146"/>
      <c r="N1096" s="1103"/>
      <c r="O1096"/>
      <c r="P1096" s="159"/>
      <c r="Q1096" s="147"/>
      <c r="T1096" s="149"/>
    </row>
    <row r="1097" spans="1:24" ht="30" customHeight="1" thickBot="1">
      <c r="A1097" s="1165"/>
      <c r="B1097" s="1166"/>
      <c r="C1097" s="1166"/>
      <c r="D1097" s="1166"/>
      <c r="E1097" s="1166"/>
      <c r="F1097" s="1166"/>
      <c r="G1097" s="1166"/>
      <c r="H1097" s="1166"/>
      <c r="I1097" s="1166"/>
      <c r="J1097" s="1166"/>
      <c r="K1097" s="1166"/>
      <c r="L1097" s="1167"/>
      <c r="M1097" s="1146"/>
      <c r="N1097" s="1103"/>
      <c r="O1097"/>
      <c r="P1097" s="159"/>
      <c r="Q1097" s="147"/>
      <c r="T1097" s="149"/>
    </row>
    <row r="1098" spans="1:24" ht="75" customHeight="1">
      <c r="A1098" s="27" t="s">
        <v>280</v>
      </c>
      <c r="B1098" s="28">
        <v>1798</v>
      </c>
      <c r="C1098" s="1426" t="s">
        <v>958</v>
      </c>
      <c r="D1098" s="1427"/>
      <c r="E1098" s="30" t="s">
        <v>282</v>
      </c>
      <c r="F1098" s="31" t="s">
        <v>10</v>
      </c>
      <c r="G1098" s="70" t="s">
        <v>959</v>
      </c>
      <c r="H1098" s="186">
        <v>1</v>
      </c>
      <c r="I1098" s="30" t="s">
        <v>283</v>
      </c>
      <c r="J1098" s="1199" t="s">
        <v>2611</v>
      </c>
      <c r="K1098" s="1199"/>
      <c r="L1098" s="1200"/>
      <c r="M1098" s="1146"/>
      <c r="N1098" s="1103"/>
      <c r="O1098"/>
      <c r="P1098" s="159"/>
      <c r="Q1098" s="147"/>
      <c r="T1098" s="149"/>
    </row>
    <row r="1099" spans="1:24" ht="30" customHeight="1">
      <c r="A1099" s="35" t="s">
        <v>597</v>
      </c>
      <c r="B1099" s="1201" t="s">
        <v>330</v>
      </c>
      <c r="C1099" s="1202"/>
      <c r="D1099" s="1203"/>
      <c r="E1099" s="150" t="s">
        <v>295</v>
      </c>
      <c r="F1099" s="150" t="s">
        <v>331</v>
      </c>
      <c r="G1099" s="1204" t="s">
        <v>332</v>
      </c>
      <c r="H1099" s="1205"/>
      <c r="I1099" s="77" t="s">
        <v>305</v>
      </c>
      <c r="J1099" s="151" t="s">
        <v>308</v>
      </c>
      <c r="K1099" s="1312" t="s">
        <v>297</v>
      </c>
      <c r="L1099" s="1313"/>
      <c r="M1099" s="1146"/>
      <c r="N1099" s="1103"/>
      <c r="O1099"/>
      <c r="P1099" s="159"/>
      <c r="Q1099" s="147"/>
      <c r="T1099" s="149"/>
    </row>
    <row r="1100" spans="1:24" ht="30" customHeight="1">
      <c r="A1100" s="45" t="s">
        <v>538</v>
      </c>
      <c r="B1100" s="1176" t="s">
        <v>960</v>
      </c>
      <c r="C1100" s="1177"/>
      <c r="D1100" s="1178"/>
      <c r="E1100" s="354">
        <f>+P892</f>
        <v>11.17</v>
      </c>
      <c r="F1100" s="20" t="s">
        <v>8</v>
      </c>
      <c r="G1100" s="350">
        <f>(720*10.7639)</f>
        <v>7750.0079999999998</v>
      </c>
      <c r="H1100" s="252" t="s">
        <v>741</v>
      </c>
      <c r="I1100" s="20">
        <f>+R892</f>
        <v>1.05</v>
      </c>
      <c r="J1100" s="326">
        <f>+S892</f>
        <v>0.99065420560747663</v>
      </c>
      <c r="K1100" s="213">
        <f>+E1100*G1100*I1100*J1100</f>
        <v>90046.473792224293</v>
      </c>
      <c r="L1100" s="45" t="s">
        <v>10</v>
      </c>
      <c r="M1100" s="1146"/>
      <c r="N1100" s="1103"/>
      <c r="O1100"/>
      <c r="P1100" s="159"/>
      <c r="Q1100" s="147"/>
      <c r="T1100" s="149"/>
    </row>
    <row r="1101" spans="1:24" ht="30" customHeight="1">
      <c r="A1101" s="45" t="s">
        <v>538</v>
      </c>
      <c r="B1101" s="1176" t="s">
        <v>961</v>
      </c>
      <c r="C1101" s="1177"/>
      <c r="D1101" s="1178"/>
      <c r="E1101" s="241">
        <f>+P891</f>
        <v>9.15</v>
      </c>
      <c r="F1101" s="317" t="s">
        <v>8</v>
      </c>
      <c r="G1101" s="350">
        <f>3*144</f>
        <v>432</v>
      </c>
      <c r="H1101" s="252" t="s">
        <v>741</v>
      </c>
      <c r="I1101" s="20">
        <f>+R891</f>
        <v>1.05</v>
      </c>
      <c r="J1101" s="326">
        <f>+S891</f>
        <v>0.99065420560747663</v>
      </c>
      <c r="K1101" s="213">
        <f>+E1101*G1101*I1101*J1101</f>
        <v>4111.6508411214954</v>
      </c>
      <c r="L1101" s="45" t="s">
        <v>10</v>
      </c>
      <c r="M1101" s="1146"/>
      <c r="N1101" s="1103"/>
      <c r="O1101"/>
      <c r="P1101" s="159"/>
      <c r="Q1101" s="147"/>
      <c r="T1101" s="149"/>
    </row>
    <row r="1102" spans="1:24" ht="30" customHeight="1">
      <c r="A1102" s="45">
        <v>93410</v>
      </c>
      <c r="B1102" s="1176" t="s">
        <v>962</v>
      </c>
      <c r="C1102" s="1177"/>
      <c r="D1102" s="1178"/>
      <c r="E1102" s="354">
        <f>+P910</f>
        <v>8.1999999999999993</v>
      </c>
      <c r="F1102" s="317" t="s">
        <v>285</v>
      </c>
      <c r="G1102" s="350">
        <v>1883</v>
      </c>
      <c r="H1102" s="252" t="s">
        <v>749</v>
      </c>
      <c r="I1102" s="383">
        <f>+R910</f>
        <v>0.94232233454704462</v>
      </c>
      <c r="J1102" s="20"/>
      <c r="K1102" s="153">
        <f>+E1102*G1102*I1102</f>
        <v>14550.022238807096</v>
      </c>
      <c r="L1102" s="45" t="s">
        <v>10</v>
      </c>
      <c r="M1102" s="1146"/>
      <c r="N1102" s="1103"/>
      <c r="O1102"/>
      <c r="P1102" s="159"/>
      <c r="Q1102" s="147"/>
      <c r="T1102" s="149"/>
    </row>
    <row r="1103" spans="1:24" ht="30" customHeight="1">
      <c r="A1103" s="45">
        <v>93210</v>
      </c>
      <c r="B1103" s="1176" t="s">
        <v>963</v>
      </c>
      <c r="C1103" s="1177"/>
      <c r="D1103" s="1178"/>
      <c r="E1103" s="354">
        <f>+P912</f>
        <v>45.8</v>
      </c>
      <c r="F1103" s="317" t="s">
        <v>285</v>
      </c>
      <c r="G1103" s="350">
        <v>205</v>
      </c>
      <c r="H1103" s="252" t="s">
        <v>749</v>
      </c>
      <c r="I1103" s="383">
        <f>+R912</f>
        <v>0.94232233454704462</v>
      </c>
      <c r="J1103" s="20"/>
      <c r="K1103" s="153">
        <f>+E1103*G1103*I1103</f>
        <v>8847.4643990622026</v>
      </c>
      <c r="L1103" s="45" t="s">
        <v>10</v>
      </c>
      <c r="M1103" s="1146"/>
      <c r="N1103" s="1103"/>
      <c r="O1103"/>
      <c r="P1103" s="159"/>
      <c r="Q1103" s="147"/>
      <c r="T1103" s="149"/>
    </row>
    <row r="1104" spans="1:24" ht="30" customHeight="1">
      <c r="A1104" s="45"/>
      <c r="B1104" s="1224"/>
      <c r="C1104" s="1224"/>
      <c r="D1104" s="1224"/>
      <c r="E1104" s="153"/>
      <c r="F1104" s="20"/>
      <c r="G1104" s="395"/>
      <c r="H1104" s="329"/>
      <c r="I1104" s="20"/>
      <c r="J1104" s="20" t="s">
        <v>379</v>
      </c>
      <c r="K1104" s="213">
        <f>SUM(K1100:K1103)</f>
        <v>117555.61127121508</v>
      </c>
      <c r="L1104" s="45" t="s">
        <v>10</v>
      </c>
      <c r="M1104" s="1146"/>
      <c r="N1104" s="1103"/>
      <c r="O1104"/>
      <c r="P1104" s="159"/>
      <c r="Q1104" s="147"/>
      <c r="T1104" s="149"/>
    </row>
    <row r="1105" spans="1:24" ht="30" customHeight="1" thickBot="1">
      <c r="A1105" s="20"/>
      <c r="B1105" s="20"/>
      <c r="C1105" s="18"/>
      <c r="D1105" s="18"/>
      <c r="E1105" s="18"/>
      <c r="F1105" s="18"/>
      <c r="G1105" s="160" t="s">
        <v>312</v>
      </c>
      <c r="H1105" s="18"/>
      <c r="I1105" s="18"/>
      <c r="J1105" s="139">
        <f>VLOOKUP(B1098,'Mil Cost Premiums for RUCs'!$A$4:$R$266,18,FALSE)</f>
        <v>1.0485669999999998</v>
      </c>
      <c r="K1105" s="23">
        <f>+K1104*J1105</f>
        <v>123264.93464382416</v>
      </c>
      <c r="L1105" s="20" t="s">
        <v>10</v>
      </c>
      <c r="M1105" s="1146"/>
      <c r="N1105" s="1103"/>
      <c r="O1105"/>
      <c r="P1105" s="159"/>
      <c r="Q1105" s="147"/>
      <c r="T1105" s="149"/>
    </row>
    <row r="1106" spans="1:24" ht="30" customHeight="1" thickBot="1">
      <c r="A1106" s="1165"/>
      <c r="B1106" s="1166"/>
      <c r="C1106" s="1166"/>
      <c r="D1106" s="1166"/>
      <c r="E1106" s="1166"/>
      <c r="F1106" s="1166"/>
      <c r="G1106" s="1166"/>
      <c r="H1106" s="1166"/>
      <c r="I1106" s="1166"/>
      <c r="J1106" s="1166"/>
      <c r="K1106" s="1166"/>
      <c r="L1106" s="1167"/>
      <c r="M1106" s="1146"/>
      <c r="N1106" s="1103"/>
      <c r="O1106"/>
      <c r="P1106" s="159"/>
      <c r="Q1106" s="147"/>
      <c r="T1106" s="149"/>
    </row>
    <row r="1107" spans="1:24" ht="30" customHeight="1">
      <c r="A1107" s="27" t="s">
        <v>280</v>
      </c>
      <c r="B1107" s="28">
        <v>1799</v>
      </c>
      <c r="C1107" s="1446" t="s">
        <v>964</v>
      </c>
      <c r="D1107" s="1447"/>
      <c r="E1107" s="30" t="s">
        <v>282</v>
      </c>
      <c r="F1107" s="31" t="s">
        <v>10</v>
      </c>
      <c r="G1107" s="70" t="s">
        <v>281</v>
      </c>
      <c r="H1107" s="186">
        <v>1</v>
      </c>
      <c r="I1107" s="30" t="s">
        <v>965</v>
      </c>
      <c r="J1107" s="1409" t="s">
        <v>2529</v>
      </c>
      <c r="K1107" s="1409"/>
      <c r="L1107" s="1410"/>
      <c r="M1107" s="1146"/>
      <c r="N1107" s="1103"/>
      <c r="O1107"/>
      <c r="P1107" s="159"/>
      <c r="Q1107" s="147"/>
      <c r="T1107" s="149"/>
    </row>
    <row r="1108" spans="1:24" ht="30" customHeight="1">
      <c r="A1108" s="35" t="s">
        <v>597</v>
      </c>
      <c r="B1108" s="1448" t="s">
        <v>966</v>
      </c>
      <c r="C1108" s="1449"/>
      <c r="D1108" s="1450"/>
      <c r="E1108" s="150" t="s">
        <v>295</v>
      </c>
      <c r="F1108" s="150" t="s">
        <v>331</v>
      </c>
      <c r="G1108" s="1204" t="s">
        <v>332</v>
      </c>
      <c r="H1108" s="1205"/>
      <c r="I1108" s="77" t="s">
        <v>305</v>
      </c>
      <c r="J1108" s="77"/>
      <c r="K1108" s="79" t="s">
        <v>967</v>
      </c>
      <c r="L1108" s="79"/>
      <c r="M1108" s="1146"/>
      <c r="N1108" s="1103"/>
      <c r="O1108"/>
      <c r="P1108" s="159"/>
      <c r="Q1108" s="147"/>
      <c r="T1108" s="149"/>
    </row>
    <row r="1109" spans="1:24" ht="30" customHeight="1">
      <c r="A1109" s="45" t="s">
        <v>482</v>
      </c>
      <c r="B1109" s="1406" t="s">
        <v>968</v>
      </c>
      <c r="C1109" s="1407"/>
      <c r="D1109" s="1408"/>
      <c r="E1109" s="241">
        <v>6.24</v>
      </c>
      <c r="F1109" s="317" t="s">
        <v>285</v>
      </c>
      <c r="G1109" s="350">
        <v>2040</v>
      </c>
      <c r="H1109" s="252" t="s">
        <v>969</v>
      </c>
      <c r="I1109" s="334">
        <v>1.07</v>
      </c>
      <c r="J1109" s="20"/>
      <c r="K1109" s="153">
        <f t="shared" ref="K1109:K1114" si="32">+J1109+E1109*G1109*I1109</f>
        <v>13620.672</v>
      </c>
      <c r="L1109" s="20" t="s">
        <v>286</v>
      </c>
      <c r="M1109" s="1146"/>
      <c r="N1109" s="1103"/>
      <c r="O1109"/>
      <c r="P1109" s="159"/>
      <c r="Q1109" s="147"/>
      <c r="T1109" s="149"/>
    </row>
    <row r="1110" spans="1:24" ht="30" customHeight="1">
      <c r="A1110" s="45" t="s">
        <v>590</v>
      </c>
      <c r="B1110" s="1188" t="s">
        <v>2542</v>
      </c>
      <c r="C1110" s="1440"/>
      <c r="D1110" s="1441"/>
      <c r="E1110" s="241">
        <v>0.28000000000000003</v>
      </c>
      <c r="F1110" s="317" t="s">
        <v>8</v>
      </c>
      <c r="G1110" s="350">
        <f>3060*9</f>
        <v>27540</v>
      </c>
      <c r="H1110" s="252" t="s">
        <v>970</v>
      </c>
      <c r="I1110" s="334">
        <v>1.05</v>
      </c>
      <c r="J1110" s="20"/>
      <c r="K1110" s="153">
        <f t="shared" si="32"/>
        <v>8096.7600000000011</v>
      </c>
      <c r="L1110" s="20" t="s">
        <v>286</v>
      </c>
      <c r="M1110" s="1146"/>
      <c r="N1110" s="1103"/>
      <c r="O1110"/>
      <c r="P1110" s="159"/>
      <c r="Q1110" s="147"/>
      <c r="T1110" s="149"/>
    </row>
    <row r="1111" spans="1:24" ht="30" customHeight="1">
      <c r="A1111" s="45" t="s">
        <v>482</v>
      </c>
      <c r="B1111" s="1188" t="s">
        <v>971</v>
      </c>
      <c r="C1111" s="1440"/>
      <c r="D1111" s="1441"/>
      <c r="E1111" s="241">
        <f>+(0.61+4.54)/2</f>
        <v>2.5750000000000002</v>
      </c>
      <c r="F1111" s="317" t="s">
        <v>3</v>
      </c>
      <c r="G1111" s="350">
        <v>3060</v>
      </c>
      <c r="H1111" s="252"/>
      <c r="I1111" s="334">
        <v>1.07</v>
      </c>
      <c r="J1111" s="20"/>
      <c r="K1111" s="153">
        <f t="shared" si="32"/>
        <v>8431.0650000000023</v>
      </c>
      <c r="L1111" s="20" t="s">
        <v>286</v>
      </c>
      <c r="M1111" s="1146"/>
      <c r="N1111" s="405"/>
      <c r="O1111"/>
      <c r="P1111" s="159"/>
      <c r="Q1111" s="147"/>
      <c r="T1111" s="149"/>
    </row>
    <row r="1112" spans="1:24" ht="30" customHeight="1">
      <c r="A1112" s="24" t="s">
        <v>590</v>
      </c>
      <c r="B1112" s="1334" t="s">
        <v>972</v>
      </c>
      <c r="C1112" s="1442"/>
      <c r="D1112" s="1443"/>
      <c r="E1112" s="434">
        <v>0.43</v>
      </c>
      <c r="F1112" s="10" t="s">
        <v>8</v>
      </c>
      <c r="G1112" s="350">
        <f>3060*9</f>
        <v>27540</v>
      </c>
      <c r="H1112" s="252" t="s">
        <v>970</v>
      </c>
      <c r="I1112" s="415">
        <v>1.05</v>
      </c>
      <c r="J1112" s="10"/>
      <c r="K1112" s="153">
        <f t="shared" si="32"/>
        <v>12434.31</v>
      </c>
      <c r="L1112" s="20" t="s">
        <v>286</v>
      </c>
      <c r="M1112" s="1146"/>
      <c r="N1112" s="405"/>
      <c r="O1112"/>
      <c r="P1112" s="159"/>
      <c r="Q1112" s="147"/>
      <c r="T1112" s="149"/>
      <c r="U1112" s="38"/>
      <c r="V1112" s="38"/>
      <c r="W1112" s="38"/>
      <c r="X1112" s="38"/>
    </row>
    <row r="1113" spans="1:24" s="38" customFormat="1" ht="30" customHeight="1">
      <c r="A1113" s="45" t="s">
        <v>973</v>
      </c>
      <c r="B1113" s="1406" t="s">
        <v>974</v>
      </c>
      <c r="C1113" s="1407"/>
      <c r="D1113" s="1408"/>
      <c r="E1113" s="354">
        <f>(20.85+31.25)/2</f>
        <v>26.05</v>
      </c>
      <c r="F1113" s="317" t="s">
        <v>6</v>
      </c>
      <c r="G1113" s="350">
        <f>18*4*20</f>
        <v>1440</v>
      </c>
      <c r="H1113" s="252" t="s">
        <v>6</v>
      </c>
      <c r="I1113" s="326">
        <v>1.08</v>
      </c>
      <c r="J1113" s="20"/>
      <c r="K1113" s="153">
        <f t="shared" si="32"/>
        <v>40512.959999999999</v>
      </c>
      <c r="L1113" s="20" t="s">
        <v>286</v>
      </c>
      <c r="M1113" s="1146"/>
      <c r="N1113" s="1103"/>
      <c r="P1113" s="159"/>
      <c r="Q1113" s="147"/>
      <c r="T1113" s="149"/>
      <c r="U1113"/>
      <c r="V1113"/>
      <c r="W1113"/>
      <c r="X1113"/>
    </row>
    <row r="1114" spans="1:24" ht="30" customHeight="1">
      <c r="A1114" s="45" t="s">
        <v>973</v>
      </c>
      <c r="B1114" s="1406" t="s">
        <v>975</v>
      </c>
      <c r="C1114" s="1407"/>
      <c r="D1114" s="1408"/>
      <c r="E1114" s="354">
        <f>(4.36+4.97)/2</f>
        <v>4.665</v>
      </c>
      <c r="F1114" s="317" t="s">
        <v>6</v>
      </c>
      <c r="G1114" s="350">
        <f>18*14*10</f>
        <v>2520</v>
      </c>
      <c r="H1114" s="252" t="s">
        <v>6</v>
      </c>
      <c r="I1114" s="326">
        <v>1.08</v>
      </c>
      <c r="J1114" s="20"/>
      <c r="K1114" s="153">
        <f t="shared" si="32"/>
        <v>12696.263999999999</v>
      </c>
      <c r="L1114" s="20" t="s">
        <v>286</v>
      </c>
      <c r="M1114" s="1146"/>
      <c r="N1114" s="1103"/>
      <c r="O1114"/>
      <c r="P1114" s="159"/>
      <c r="Q1114" s="147"/>
      <c r="T1114" s="149"/>
    </row>
    <row r="1115" spans="1:24" ht="30" customHeight="1">
      <c r="A1115" s="45"/>
      <c r="B1115" s="1307"/>
      <c r="C1115" s="1307"/>
      <c r="D1115" s="1307"/>
      <c r="E1115" s="213"/>
      <c r="F1115" s="45"/>
      <c r="G1115" s="435"/>
      <c r="H1115" s="264"/>
      <c r="I1115" s="45"/>
      <c r="J1115" s="20" t="s">
        <v>379</v>
      </c>
      <c r="K1115" s="153">
        <f>SUM(K1109:K1114)</f>
        <v>95792.030999999988</v>
      </c>
      <c r="L1115" s="20" t="s">
        <v>286</v>
      </c>
      <c r="M1115" s="1146"/>
      <c r="N1115" s="1103"/>
      <c r="O1115"/>
      <c r="P1115" s="159"/>
      <c r="Q1115" s="147"/>
      <c r="T1115" s="149"/>
    </row>
    <row r="1116" spans="1:24" ht="30" customHeight="1">
      <c r="A1116" s="45"/>
      <c r="B1116" s="189"/>
      <c r="C1116" s="189"/>
      <c r="D1116" s="189"/>
      <c r="E1116" s="213"/>
      <c r="F1116" s="1367" t="s">
        <v>308</v>
      </c>
      <c r="G1116" s="1369" t="s">
        <v>309</v>
      </c>
      <c r="H1116" s="1369"/>
      <c r="I1116" s="1369"/>
      <c r="J1116" s="1369"/>
      <c r="K1116" s="123">
        <v>1.06</v>
      </c>
      <c r="L1116" s="24"/>
      <c r="M1116" s="1146"/>
      <c r="N1116" s="1103"/>
      <c r="O1116"/>
      <c r="P1116" s="159"/>
      <c r="Q1116" s="147"/>
      <c r="T1116" s="149"/>
    </row>
    <row r="1117" spans="1:24" ht="30" customHeight="1">
      <c r="A1117" s="45"/>
      <c r="B1117" s="189"/>
      <c r="C1117" s="189"/>
      <c r="D1117" s="189"/>
      <c r="E1117" s="213"/>
      <c r="F1117" s="1368"/>
      <c r="G1117" s="1370" t="s">
        <v>310</v>
      </c>
      <c r="H1117" s="1370"/>
      <c r="I1117" s="1370"/>
      <c r="J1117" s="1370"/>
      <c r="K1117" s="123">
        <v>1.07</v>
      </c>
      <c r="L1117" s="24"/>
      <c r="M1117" s="1146"/>
      <c r="N1117" s="1103"/>
      <c r="O1117"/>
      <c r="P1117" s="159"/>
      <c r="Q1117" s="147"/>
      <c r="T1117" s="149"/>
    </row>
    <row r="1118" spans="1:24" ht="30" customHeight="1">
      <c r="A1118" s="45"/>
      <c r="B1118" s="1451" t="s">
        <v>2866</v>
      </c>
      <c r="C1118" s="1452"/>
      <c r="D1118" s="1453"/>
      <c r="E1118" s="213"/>
      <c r="F1118" s="45"/>
      <c r="G1118" s="382"/>
      <c r="H1118" s="264"/>
      <c r="I1118" s="45"/>
      <c r="J1118" s="45" t="s">
        <v>289</v>
      </c>
      <c r="K1118" s="153">
        <f>+K1115*K1116/K1117</f>
        <v>94896.778373831767</v>
      </c>
      <c r="L1118" s="45" t="s">
        <v>10</v>
      </c>
      <c r="M1118" s="1146"/>
      <c r="N1118" s="1103"/>
      <c r="O1118"/>
      <c r="P1118" s="159"/>
      <c r="Q1118" s="147"/>
      <c r="T1118" s="149"/>
    </row>
    <row r="1119" spans="1:24" ht="30" customHeight="1" thickBot="1">
      <c r="A1119" s="45"/>
      <c r="B1119" s="1454"/>
      <c r="C1119" s="1455"/>
      <c r="D1119" s="1456"/>
      <c r="E1119" s="46"/>
      <c r="F1119" s="46"/>
      <c r="G1119" s="47"/>
      <c r="H1119" s="46"/>
      <c r="I1119" s="69" t="s">
        <v>385</v>
      </c>
      <c r="J1119" s="139">
        <f>VLOOKUP(B1107,'Mil Cost Premiums for RUCs'!$A$4:$R$266,18,FALSE)</f>
        <v>1.0485669999999998</v>
      </c>
      <c r="K1119" s="21">
        <f>+K1118*J1119</f>
        <v>99505.630209113631</v>
      </c>
      <c r="L1119" s="45" t="s">
        <v>10</v>
      </c>
      <c r="M1119" s="1146"/>
      <c r="N1119" s="1103"/>
      <c r="O1119"/>
      <c r="P1119" s="159"/>
      <c r="Q1119" s="147"/>
      <c r="T1119" s="149"/>
    </row>
    <row r="1120" spans="1:24" ht="30" customHeight="1" thickBot="1">
      <c r="A1120" s="1165"/>
      <c r="B1120" s="1166"/>
      <c r="C1120" s="1166"/>
      <c r="D1120" s="1166"/>
      <c r="E1120" s="1166"/>
      <c r="F1120" s="1166"/>
      <c r="G1120" s="1166"/>
      <c r="H1120" s="1166"/>
      <c r="I1120" s="1166"/>
      <c r="J1120" s="1166"/>
      <c r="K1120" s="1166"/>
      <c r="L1120" s="1167"/>
      <c r="M1120" s="1146"/>
      <c r="N1120" s="1103"/>
      <c r="O1120"/>
      <c r="P1120" s="159"/>
      <c r="Q1120" s="147"/>
      <c r="T1120" s="149"/>
      <c r="U1120" s="38"/>
      <c r="V1120" s="38"/>
      <c r="W1120" s="38"/>
      <c r="X1120" s="38"/>
    </row>
    <row r="1121" spans="1:24" s="38" customFormat="1" ht="30" customHeight="1">
      <c r="A1121" s="81" t="s">
        <v>280</v>
      </c>
      <c r="B1121" s="82">
        <v>2111</v>
      </c>
      <c r="C1121" s="1228" t="s">
        <v>976</v>
      </c>
      <c r="D1121" s="1229"/>
      <c r="E1121" s="74" t="s">
        <v>282</v>
      </c>
      <c r="F1121" s="75" t="s">
        <v>8</v>
      </c>
      <c r="G1121" s="58" t="s">
        <v>290</v>
      </c>
      <c r="H1121" s="336">
        <v>31119</v>
      </c>
      <c r="I1121" s="74" t="s">
        <v>283</v>
      </c>
      <c r="J1121" s="1199" t="s">
        <v>2547</v>
      </c>
      <c r="K1121" s="1230"/>
      <c r="L1121" s="1231"/>
      <c r="M1121" s="1146"/>
      <c r="N1121" s="1103"/>
      <c r="P1121" s="159"/>
      <c r="Q1121" s="147"/>
      <c r="T1121" s="149"/>
      <c r="U1121"/>
      <c r="V1121"/>
      <c r="W1121"/>
      <c r="X1121"/>
    </row>
    <row r="1122" spans="1:24" ht="30" customHeight="1">
      <c r="A1122" s="77" t="s">
        <v>293</v>
      </c>
      <c r="B1122" s="1232" t="s">
        <v>284</v>
      </c>
      <c r="C1122" s="1232"/>
      <c r="D1122" s="1232"/>
      <c r="E1122" s="78" t="s">
        <v>294</v>
      </c>
      <c r="F1122" s="96" t="s">
        <v>295</v>
      </c>
      <c r="G1122" s="77"/>
      <c r="H1122" s="77"/>
      <c r="I1122" s="1233" t="s">
        <v>441</v>
      </c>
      <c r="J1122" s="1234"/>
      <c r="K1122" s="1206" t="s">
        <v>297</v>
      </c>
      <c r="L1122" s="1207"/>
      <c r="M1122" s="1146"/>
      <c r="N1122" s="1103"/>
      <c r="O1122"/>
      <c r="P1122" s="159"/>
      <c r="Q1122" s="147"/>
      <c r="T1122" s="149"/>
    </row>
    <row r="1123" spans="1:24" ht="30" customHeight="1">
      <c r="A1123" s="97" t="s">
        <v>298</v>
      </c>
      <c r="B1123" s="1222" t="s">
        <v>977</v>
      </c>
      <c r="C1123" s="1222"/>
      <c r="D1123" s="1222"/>
      <c r="E1123" s="98">
        <v>78000</v>
      </c>
      <c r="F1123" s="99">
        <v>283</v>
      </c>
      <c r="G1123" s="100"/>
      <c r="H1123" s="101"/>
      <c r="I1123" s="1192" t="s">
        <v>2551</v>
      </c>
      <c r="J1123" s="1193"/>
      <c r="K1123" s="99">
        <f>+F1123</f>
        <v>283</v>
      </c>
      <c r="L1123" s="97" t="s">
        <v>8</v>
      </c>
      <c r="M1123" s="1146"/>
      <c r="N1123" s="1103"/>
      <c r="O1123"/>
      <c r="P1123" s="159"/>
      <c r="Q1123" s="147"/>
      <c r="T1123" s="149"/>
    </row>
    <row r="1124" spans="1:24" ht="30" customHeight="1" thickBot="1">
      <c r="A1124" s="20"/>
      <c r="B1124" s="1224"/>
      <c r="C1124" s="1224"/>
      <c r="D1124" s="1224"/>
      <c r="E1124" s="1225"/>
      <c r="F1124" s="1226"/>
      <c r="G1124" s="1226"/>
      <c r="H1124" s="1227"/>
      <c r="I1124" s="18"/>
      <c r="J1124" s="79" t="s">
        <v>289</v>
      </c>
      <c r="K1124" s="103">
        <f>+K1123</f>
        <v>283</v>
      </c>
      <c r="L1124" s="20" t="s">
        <v>8</v>
      </c>
      <c r="M1124" s="1146"/>
      <c r="N1124" s="1103"/>
      <c r="O1124"/>
      <c r="P1124" s="159"/>
      <c r="Q1124" s="147"/>
      <c r="T1124" s="149"/>
    </row>
    <row r="1125" spans="1:24" ht="30" customHeight="1" thickBot="1">
      <c r="A1125" s="1165"/>
      <c r="B1125" s="1166"/>
      <c r="C1125" s="1166"/>
      <c r="D1125" s="1166"/>
      <c r="E1125" s="1166"/>
      <c r="F1125" s="1166"/>
      <c r="G1125" s="1166"/>
      <c r="H1125" s="1166"/>
      <c r="I1125" s="1166"/>
      <c r="J1125" s="1166"/>
      <c r="K1125" s="1166"/>
      <c r="L1125" s="1167"/>
      <c r="M1125" s="1146"/>
      <c r="N1125" s="1103"/>
      <c r="O1125"/>
      <c r="P1125" s="159"/>
      <c r="Q1125" s="147"/>
      <c r="T1125" s="149"/>
    </row>
    <row r="1126" spans="1:24" ht="30" customHeight="1">
      <c r="A1126" s="81" t="s">
        <v>280</v>
      </c>
      <c r="B1126" s="82">
        <v>2112</v>
      </c>
      <c r="C1126" s="1197" t="s">
        <v>978</v>
      </c>
      <c r="D1126" s="1198"/>
      <c r="E1126" s="74" t="s">
        <v>282</v>
      </c>
      <c r="F1126" s="75" t="s">
        <v>8</v>
      </c>
      <c r="G1126" s="58" t="s">
        <v>290</v>
      </c>
      <c r="H1126" s="215">
        <v>10334</v>
      </c>
      <c r="I1126" s="74" t="s">
        <v>283</v>
      </c>
      <c r="J1126" s="1409" t="s">
        <v>2527</v>
      </c>
      <c r="K1126" s="1409"/>
      <c r="L1126" s="1410"/>
      <c r="M1126" s="1146"/>
      <c r="N1126" s="1103"/>
      <c r="O1126"/>
      <c r="P1126" s="159"/>
      <c r="Q1126" s="147"/>
      <c r="T1126" s="149"/>
    </row>
    <row r="1127" spans="1:24" ht="30" customHeight="1">
      <c r="A1127" s="79" t="s">
        <v>304</v>
      </c>
      <c r="B1127" s="1201" t="s">
        <v>330</v>
      </c>
      <c r="C1127" s="1202"/>
      <c r="D1127" s="1203"/>
      <c r="E1127" s="150" t="s">
        <v>295</v>
      </c>
      <c r="F1127" s="150" t="s">
        <v>331</v>
      </c>
      <c r="G1127" s="1204" t="s">
        <v>332</v>
      </c>
      <c r="H1127" s="1205"/>
      <c r="I1127" s="151" t="s">
        <v>305</v>
      </c>
      <c r="J1127" s="151"/>
      <c r="K1127" s="1206" t="s">
        <v>297</v>
      </c>
      <c r="L1127" s="1207"/>
      <c r="M1127" s="1146"/>
      <c r="N1127" s="1103"/>
      <c r="O1127"/>
      <c r="P1127" s="159"/>
      <c r="Q1127" s="147"/>
      <c r="T1127" s="149"/>
    </row>
    <row r="1128" spans="1:24" ht="30" customHeight="1">
      <c r="A1128" s="20" t="s">
        <v>979</v>
      </c>
      <c r="B1128" s="1176" t="s">
        <v>2543</v>
      </c>
      <c r="C1128" s="1177"/>
      <c r="D1128" s="1178"/>
      <c r="E1128" s="153">
        <f>76.5-2.25</f>
        <v>74.25</v>
      </c>
      <c r="F1128" s="317" t="s">
        <v>8</v>
      </c>
      <c r="G1128" s="324"/>
      <c r="H1128" s="325"/>
      <c r="I1128" s="20">
        <v>1.05</v>
      </c>
      <c r="J1128" s="326"/>
      <c r="K1128" s="153">
        <f>+E1128*I1128</f>
        <v>77.962500000000006</v>
      </c>
      <c r="L1128" s="20" t="s">
        <v>8</v>
      </c>
      <c r="M1128" s="1146"/>
      <c r="N1128" s="1103"/>
      <c r="O1128"/>
      <c r="P1128" s="159"/>
      <c r="Q1128" s="147"/>
      <c r="T1128" s="149"/>
    </row>
    <row r="1129" spans="1:24" ht="30" customHeight="1">
      <c r="A1129" s="20" t="s">
        <v>980</v>
      </c>
      <c r="B1129" s="1176" t="s">
        <v>2669</v>
      </c>
      <c r="C1129" s="1177"/>
      <c r="D1129" s="1178"/>
      <c r="E1129" s="153">
        <f>178-3.89</f>
        <v>174.11</v>
      </c>
      <c r="F1129" s="317" t="s">
        <v>8</v>
      </c>
      <c r="G1129" s="324"/>
      <c r="H1129" s="325"/>
      <c r="I1129" s="267">
        <v>1.05</v>
      </c>
      <c r="J1129" s="326"/>
      <c r="K1129" s="153">
        <f>+E1129*I1129</f>
        <v>182.81550000000001</v>
      </c>
      <c r="L1129" s="20" t="s">
        <v>8</v>
      </c>
      <c r="M1129" s="1146"/>
      <c r="O1129"/>
      <c r="P1129" s="159"/>
      <c r="Q1129" s="147"/>
      <c r="T1129" s="149"/>
    </row>
    <row r="1130" spans="1:24" ht="30" customHeight="1">
      <c r="A1130" s="20" t="s">
        <v>981</v>
      </c>
      <c r="B1130" s="1176" t="s">
        <v>2548</v>
      </c>
      <c r="C1130" s="1177"/>
      <c r="D1130" s="1178"/>
      <c r="E1130" s="153">
        <v>119</v>
      </c>
      <c r="F1130" s="317" t="s">
        <v>8</v>
      </c>
      <c r="G1130" s="324"/>
      <c r="H1130" s="325"/>
      <c r="I1130" s="267">
        <v>1.05</v>
      </c>
      <c r="J1130" s="326"/>
      <c r="K1130" s="153">
        <f>+E1130*I1130</f>
        <v>124.95</v>
      </c>
      <c r="L1130" s="20" t="s">
        <v>8</v>
      </c>
      <c r="M1130" s="1146"/>
      <c r="N1130" s="1103"/>
      <c r="O1130"/>
      <c r="P1130" s="159"/>
      <c r="Q1130" s="147"/>
      <c r="T1130" s="149"/>
    </row>
    <row r="1131" spans="1:24" ht="30" customHeight="1">
      <c r="A1131" s="20"/>
      <c r="B1131" s="436"/>
      <c r="C1131" s="437"/>
      <c r="D1131" s="325"/>
      <c r="E1131" s="153"/>
      <c r="F1131" s="317"/>
      <c r="G1131" s="324"/>
      <c r="H1131" s="325"/>
      <c r="I1131" s="1176" t="s">
        <v>982</v>
      </c>
      <c r="J1131" s="1284"/>
      <c r="K1131" s="153">
        <f>AVERAGE(K1128:K1130)</f>
        <v>128.57599999999999</v>
      </c>
      <c r="L1131" s="20" t="s">
        <v>8</v>
      </c>
      <c r="M1131" s="1146"/>
      <c r="N1131" s="1103"/>
      <c r="O1131"/>
      <c r="P1131" s="159"/>
      <c r="Q1131" s="147"/>
      <c r="T1131" s="149"/>
    </row>
    <row r="1132" spans="1:24" ht="30" customHeight="1">
      <c r="A1132" s="20" t="s">
        <v>983</v>
      </c>
      <c r="B1132" s="1176" t="s">
        <v>984</v>
      </c>
      <c r="C1132" s="1163"/>
      <c r="D1132" s="1164"/>
      <c r="E1132" s="153">
        <v>10600</v>
      </c>
      <c r="F1132" s="317" t="s">
        <v>10</v>
      </c>
      <c r="G1132" s="438">
        <f>1/H1126</f>
        <v>9.676795045480937E-5</v>
      </c>
      <c r="H1132" s="325" t="s">
        <v>985</v>
      </c>
      <c r="I1132" s="267">
        <v>1.08</v>
      </c>
      <c r="J1132" s="326"/>
      <c r="K1132" s="153">
        <f>+E1132*G1132*I1132</f>
        <v>1.1077994968066578</v>
      </c>
      <c r="L1132" s="20" t="s">
        <v>8</v>
      </c>
      <c r="M1132" s="1146"/>
      <c r="N1132" s="1103"/>
      <c r="O1132"/>
      <c r="P1132" s="159"/>
      <c r="Q1132" s="147"/>
      <c r="T1132" s="149"/>
    </row>
    <row r="1133" spans="1:24" ht="30" customHeight="1">
      <c r="A1133" s="24" t="s">
        <v>461</v>
      </c>
      <c r="B1133" s="1162" t="s">
        <v>986</v>
      </c>
      <c r="C1133" s="1163"/>
      <c r="D1133" s="1164"/>
      <c r="E1133" s="115">
        <v>132000</v>
      </c>
      <c r="F1133" s="401" t="s">
        <v>10</v>
      </c>
      <c r="G1133" s="438">
        <f>1/H1126</f>
        <v>9.676795045480937E-5</v>
      </c>
      <c r="H1133" s="439" t="s">
        <v>985</v>
      </c>
      <c r="I1133" s="267">
        <v>1.07</v>
      </c>
      <c r="J1133" s="326"/>
      <c r="K1133" s="153">
        <f>+E1133*G1133*I1133</f>
        <v>13.667505322237277</v>
      </c>
      <c r="L1133" s="20" t="s">
        <v>8</v>
      </c>
      <c r="M1133" s="1146"/>
      <c r="N1133" s="1103"/>
      <c r="O1133"/>
      <c r="P1133" s="159"/>
      <c r="Q1133" s="147"/>
      <c r="T1133" s="149"/>
    </row>
    <row r="1134" spans="1:24" ht="30" customHeight="1">
      <c r="A1134" s="1004" t="s">
        <v>377</v>
      </c>
      <c r="B1134" s="1162" t="s">
        <v>987</v>
      </c>
      <c r="C1134" s="1163"/>
      <c r="D1134" s="1164"/>
      <c r="E1134" s="14">
        <f xml:space="preserve"> 0.52+((1.03+1.53)/2)</f>
        <v>1.8</v>
      </c>
      <c r="F1134" s="401" t="s">
        <v>8</v>
      </c>
      <c r="G1134" s="7"/>
      <c r="H1134" s="439"/>
      <c r="I1134" s="267">
        <v>1.05</v>
      </c>
      <c r="J1134" s="326"/>
      <c r="K1134" s="153">
        <f>+E1134*I1134</f>
        <v>1.8900000000000001</v>
      </c>
      <c r="L1134" s="20" t="s">
        <v>8</v>
      </c>
      <c r="M1134" s="1146"/>
      <c r="N1134" s="1103"/>
      <c r="O1134"/>
      <c r="P1134" s="159"/>
      <c r="Q1134" s="147"/>
      <c r="T1134" s="149"/>
    </row>
    <row r="1135" spans="1:24" ht="30" customHeight="1">
      <c r="A1135" s="20" t="s">
        <v>377</v>
      </c>
      <c r="B1135" s="1176" t="s">
        <v>988</v>
      </c>
      <c r="C1135" s="1177"/>
      <c r="D1135" s="1178"/>
      <c r="E1135" s="444">
        <v>4.5599999999999996</v>
      </c>
      <c r="F1135" s="20" t="s">
        <v>8</v>
      </c>
      <c r="G1135" s="327"/>
      <c r="H1135" s="325"/>
      <c r="I1135" s="20">
        <v>1.05</v>
      </c>
      <c r="J1135" s="326"/>
      <c r="K1135" s="153">
        <f>+E1135*I1135</f>
        <v>4.7879999999999994</v>
      </c>
      <c r="L1135" s="20" t="s">
        <v>8</v>
      </c>
      <c r="M1135" s="1146"/>
      <c r="N1135" s="1103"/>
      <c r="O1135"/>
      <c r="P1135" s="159"/>
      <c r="Q1135" s="147"/>
      <c r="T1135" s="149"/>
    </row>
    <row r="1136" spans="1:24" ht="30" customHeight="1">
      <c r="A1136" s="20"/>
      <c r="B1136" s="1224"/>
      <c r="C1136" s="1224"/>
      <c r="D1136" s="1224"/>
      <c r="E1136" s="153"/>
      <c r="F1136" s="20"/>
      <c r="G1136" s="328"/>
      <c r="H1136" s="329"/>
      <c r="I1136" s="20"/>
      <c r="J1136" s="20" t="s">
        <v>379</v>
      </c>
      <c r="K1136" s="153">
        <f>SUM(K1131:K1135)</f>
        <v>150.02930481904392</v>
      </c>
      <c r="L1136" s="20" t="s">
        <v>8</v>
      </c>
      <c r="M1136" s="1146"/>
      <c r="N1136" s="998"/>
      <c r="O1136"/>
      <c r="P1136" s="159"/>
      <c r="Q1136" s="147"/>
      <c r="T1136" s="149"/>
    </row>
    <row r="1137" spans="1:24" ht="30" customHeight="1">
      <c r="A1137" s="45"/>
      <c r="B1137" s="157"/>
      <c r="C1137" s="157"/>
      <c r="D1137" s="157"/>
      <c r="E1137" s="153"/>
      <c r="F1137" s="1174" t="s">
        <v>308</v>
      </c>
      <c r="G1137" s="1208" t="s">
        <v>309</v>
      </c>
      <c r="H1137" s="1208"/>
      <c r="I1137" s="1208"/>
      <c r="J1137" s="1208"/>
      <c r="K1137" s="123">
        <v>1.08</v>
      </c>
      <c r="L1137" s="10"/>
      <c r="M1137" s="1146"/>
      <c r="N1137" s="1000"/>
      <c r="O1137"/>
      <c r="P1137" s="159"/>
      <c r="Q1137" s="147"/>
      <c r="T1137" s="149"/>
    </row>
    <row r="1138" spans="1:24" ht="30" customHeight="1">
      <c r="A1138" s="45"/>
      <c r="B1138" s="157"/>
      <c r="C1138" s="157"/>
      <c r="D1138" s="157"/>
      <c r="E1138" s="153"/>
      <c r="F1138" s="1175"/>
      <c r="G1138" s="1209" t="s">
        <v>310</v>
      </c>
      <c r="H1138" s="1209"/>
      <c r="I1138" s="1209"/>
      <c r="J1138" s="1209"/>
      <c r="K1138" s="123">
        <v>1.07</v>
      </c>
      <c r="L1138" s="10"/>
      <c r="M1138" s="1146"/>
      <c r="N1138" s="1103"/>
      <c r="O1138"/>
      <c r="P1138" s="159"/>
      <c r="Q1138" s="147"/>
      <c r="T1138" s="149"/>
    </row>
    <row r="1139" spans="1:24" ht="30" customHeight="1">
      <c r="A1139" s="20"/>
      <c r="B1139" s="20"/>
      <c r="C1139" s="18"/>
      <c r="D1139" s="18"/>
      <c r="E1139" s="18"/>
      <c r="F1139" s="18"/>
      <c r="G1139" s="18"/>
      <c r="H1139" s="18"/>
      <c r="I1139" s="18"/>
      <c r="J1139" s="20" t="s">
        <v>289</v>
      </c>
      <c r="K1139" s="23">
        <f>+K1136*K1137/K1138</f>
        <v>151.43144785473589</v>
      </c>
      <c r="L1139" s="20" t="s">
        <v>8</v>
      </c>
      <c r="M1139" s="1146"/>
      <c r="N1139" s="1103"/>
      <c r="O1139"/>
      <c r="P1139" s="159"/>
      <c r="Q1139" s="147"/>
      <c r="T1139" s="149"/>
    </row>
    <row r="1140" spans="1:24" ht="30" customHeight="1">
      <c r="A1140" s="20"/>
      <c r="B1140" s="20"/>
      <c r="C1140" s="18"/>
      <c r="D1140" s="18"/>
      <c r="E1140" s="18"/>
      <c r="F1140" s="18"/>
      <c r="G1140" s="1201" t="s">
        <v>385</v>
      </c>
      <c r="H1140" s="1202"/>
      <c r="I1140" s="1203"/>
      <c r="J1140" s="139">
        <f>VLOOKUP(B1126,'Mil Cost Premiums for RUCs'!$A$4:$R$266,18,FALSE)</f>
        <v>1.1932356231980656</v>
      </c>
      <c r="K1140" s="23">
        <f>+K1139*J1140</f>
        <v>180.69339805273117</v>
      </c>
      <c r="L1140" s="20" t="s">
        <v>8</v>
      </c>
      <c r="M1140" s="1146"/>
      <c r="N1140" s="1103"/>
      <c r="O1140"/>
      <c r="P1140" s="159"/>
      <c r="Q1140" s="147"/>
      <c r="T1140" s="149"/>
    </row>
    <row r="1141" spans="1:24" ht="60" customHeight="1">
      <c r="A1141" s="1337" t="s">
        <v>313</v>
      </c>
      <c r="B1141" s="1338"/>
      <c r="C1141" s="1338"/>
      <c r="D1141" s="1338"/>
      <c r="E1141" s="1338"/>
      <c r="F1141" s="1338"/>
      <c r="G1141" s="1338"/>
      <c r="H1141" s="1338"/>
      <c r="I1141" s="1338"/>
      <c r="J1141" s="1338"/>
      <c r="K1141" s="1338"/>
      <c r="L1141" s="1339"/>
      <c r="M1141" s="1146"/>
      <c r="N1141" s="1103"/>
      <c r="O1141"/>
      <c r="P1141" s="159"/>
      <c r="Q1141" s="147"/>
      <c r="T1141" s="149"/>
      <c r="U1141" s="38"/>
      <c r="V1141" s="38"/>
      <c r="W1141" s="38"/>
      <c r="X1141" s="38"/>
    </row>
    <row r="1142" spans="1:24" s="38" customFormat="1" ht="30" customHeight="1">
      <c r="A1142" s="1428" t="s">
        <v>314</v>
      </c>
      <c r="B1142" s="1429"/>
      <c r="C1142" s="1430"/>
      <c r="D1142" s="1331" t="s">
        <v>989</v>
      </c>
      <c r="E1142" s="1256"/>
      <c r="F1142" s="1256"/>
      <c r="G1142" s="1256"/>
      <c r="H1142" s="1256"/>
      <c r="I1142" s="1256"/>
      <c r="J1142" s="1256"/>
      <c r="K1142" s="1256"/>
      <c r="L1142" s="1257"/>
      <c r="M1142" s="1146"/>
      <c r="N1142" s="1103"/>
      <c r="P1142" s="159"/>
      <c r="Q1142" s="147"/>
      <c r="T1142" s="149"/>
      <c r="U1142"/>
      <c r="V1142"/>
      <c r="W1142"/>
      <c r="X1142"/>
    </row>
    <row r="1143" spans="1:24" ht="30" customHeight="1">
      <c r="A1143" s="1428" t="s">
        <v>316</v>
      </c>
      <c r="B1143" s="1429"/>
      <c r="C1143" s="1430"/>
      <c r="D1143" s="1270" t="s">
        <v>990</v>
      </c>
      <c r="E1143" s="1371"/>
      <c r="F1143" s="1371"/>
      <c r="G1143" s="1371"/>
      <c r="H1143" s="1371"/>
      <c r="I1143" s="1371"/>
      <c r="J1143" s="1371"/>
      <c r="K1143" s="1371"/>
      <c r="L1143" s="1372"/>
      <c r="M1143" s="1146"/>
      <c r="N1143" s="1103"/>
      <c r="O1143"/>
      <c r="P1143" s="159"/>
      <c r="Q1143" s="147"/>
      <c r="T1143" s="149"/>
    </row>
    <row r="1144" spans="1:24" ht="30" customHeight="1">
      <c r="A1144" s="1428" t="s">
        <v>317</v>
      </c>
      <c r="B1144" s="1429"/>
      <c r="C1144" s="1430"/>
      <c r="D1144" s="1270" t="s">
        <v>2586</v>
      </c>
      <c r="E1144" s="1371"/>
      <c r="F1144" s="1371"/>
      <c r="G1144" s="1371"/>
      <c r="H1144" s="1371"/>
      <c r="I1144" s="1371"/>
      <c r="J1144" s="1371"/>
      <c r="K1144" s="1371"/>
      <c r="L1144" s="1372"/>
      <c r="M1144" s="1146"/>
      <c r="N1144" s="1103"/>
      <c r="O1144"/>
      <c r="P1144" s="159"/>
      <c r="Q1144" s="147"/>
      <c r="T1144" s="149"/>
    </row>
    <row r="1145" spans="1:24" ht="30" customHeight="1">
      <c r="A1145" s="1428" t="s">
        <v>318</v>
      </c>
      <c r="B1145" s="1429"/>
      <c r="C1145" s="1430"/>
      <c r="D1145" s="1270" t="s">
        <v>991</v>
      </c>
      <c r="E1145" s="1371"/>
      <c r="F1145" s="1371"/>
      <c r="G1145" s="1371"/>
      <c r="H1145" s="1371"/>
      <c r="I1145" s="1371"/>
      <c r="J1145" s="1371"/>
      <c r="K1145" s="1371"/>
      <c r="L1145" s="1372"/>
      <c r="M1145" s="1146"/>
      <c r="N1145" s="1103"/>
      <c r="O1145"/>
      <c r="P1145" s="159"/>
      <c r="Q1145" s="147"/>
      <c r="T1145" s="149"/>
    </row>
    <row r="1146" spans="1:24" ht="30" customHeight="1">
      <c r="A1146" s="1428" t="s">
        <v>320</v>
      </c>
      <c r="B1146" s="1429"/>
      <c r="C1146" s="1430"/>
      <c r="D1146" s="1270" t="s">
        <v>992</v>
      </c>
      <c r="E1146" s="1371"/>
      <c r="F1146" s="1371"/>
      <c r="G1146" s="1371"/>
      <c r="H1146" s="1371"/>
      <c r="I1146" s="1371"/>
      <c r="J1146" s="1371"/>
      <c r="K1146" s="1371"/>
      <c r="L1146" s="1372"/>
      <c r="M1146" s="1146"/>
      <c r="N1146" s="1103"/>
      <c r="O1146"/>
      <c r="P1146" s="159"/>
      <c r="Q1146" s="147"/>
      <c r="T1146" s="149"/>
    </row>
    <row r="1147" spans="1:24" ht="30" customHeight="1">
      <c r="A1147" s="1428" t="s">
        <v>322</v>
      </c>
      <c r="B1147" s="1429"/>
      <c r="C1147" s="1430"/>
      <c r="D1147" s="1270" t="s">
        <v>2549</v>
      </c>
      <c r="E1147" s="1371"/>
      <c r="F1147" s="1371"/>
      <c r="G1147" s="1371"/>
      <c r="H1147" s="1371"/>
      <c r="I1147" s="1371"/>
      <c r="J1147" s="1371"/>
      <c r="K1147" s="1371"/>
      <c r="L1147" s="1372"/>
      <c r="M1147" s="1146"/>
      <c r="N1147" s="1103"/>
      <c r="O1147"/>
      <c r="P1147" s="159"/>
      <c r="Q1147" s="147"/>
      <c r="T1147" s="149"/>
    </row>
    <row r="1148" spans="1:24" ht="30" customHeight="1">
      <c r="A1148" s="1428" t="s">
        <v>324</v>
      </c>
      <c r="B1148" s="1429"/>
      <c r="C1148" s="1430"/>
      <c r="D1148" s="1270" t="s">
        <v>993</v>
      </c>
      <c r="E1148" s="1371"/>
      <c r="F1148" s="1371"/>
      <c r="G1148" s="1371"/>
      <c r="H1148" s="1371"/>
      <c r="I1148" s="1371"/>
      <c r="J1148" s="1371"/>
      <c r="K1148" s="1371"/>
      <c r="L1148" s="1372"/>
      <c r="M1148" s="1146"/>
      <c r="N1148" s="1103"/>
      <c r="O1148"/>
      <c r="P1148" s="159"/>
      <c r="Q1148" s="147"/>
      <c r="T1148" s="149"/>
    </row>
    <row r="1149" spans="1:24" ht="80.25" customHeight="1">
      <c r="A1149" s="1428" t="s">
        <v>499</v>
      </c>
      <c r="B1149" s="1429"/>
      <c r="C1149" s="1430"/>
      <c r="D1149" s="1422" t="s">
        <v>994</v>
      </c>
      <c r="E1149" s="1423"/>
      <c r="F1149" s="1423"/>
      <c r="G1149" s="1423"/>
      <c r="H1149" s="1423"/>
      <c r="I1149" s="1423"/>
      <c r="J1149" s="1423"/>
      <c r="K1149" s="1423"/>
      <c r="L1149" s="1424"/>
      <c r="M1149" s="1146"/>
      <c r="N1149" s="405"/>
      <c r="O1149"/>
      <c r="P1149" s="159"/>
      <c r="Q1149" s="147"/>
      <c r="T1149" s="149"/>
    </row>
    <row r="1150" spans="1:24" ht="30" customHeight="1" thickBot="1">
      <c r="A1150" s="1331" t="s">
        <v>327</v>
      </c>
      <c r="B1150" s="1256"/>
      <c r="C1150" s="1257"/>
      <c r="D1150" s="1270" t="s">
        <v>2544</v>
      </c>
      <c r="E1150" s="1371"/>
      <c r="F1150" s="1371"/>
      <c r="G1150" s="1371"/>
      <c r="H1150" s="1371"/>
      <c r="I1150" s="1371"/>
      <c r="J1150" s="1371"/>
      <c r="K1150" s="1371"/>
      <c r="L1150" s="1372"/>
      <c r="M1150" s="1146"/>
      <c r="N1150" s="405"/>
      <c r="O1150"/>
      <c r="P1150" s="159"/>
      <c r="Q1150" s="147"/>
      <c r="T1150" s="149"/>
    </row>
    <row r="1151" spans="1:24" ht="30" customHeight="1" thickBot="1">
      <c r="A1151" s="1165"/>
      <c r="B1151" s="1166"/>
      <c r="C1151" s="1166"/>
      <c r="D1151" s="1166"/>
      <c r="E1151" s="1166"/>
      <c r="F1151" s="1166"/>
      <c r="G1151" s="1166"/>
      <c r="H1151" s="1166"/>
      <c r="I1151" s="1166"/>
      <c r="J1151" s="1166"/>
      <c r="K1151" s="1166"/>
      <c r="L1151" s="1167"/>
      <c r="M1151" s="1146"/>
      <c r="N1151" s="1103"/>
      <c r="O1151"/>
      <c r="P1151" s="159"/>
      <c r="Q1151" s="147"/>
      <c r="T1151" s="149"/>
    </row>
    <row r="1152" spans="1:24" ht="30" customHeight="1">
      <c r="A1152" s="81" t="s">
        <v>280</v>
      </c>
      <c r="B1152" s="82">
        <v>2113</v>
      </c>
      <c r="C1152" s="1228" t="s">
        <v>995</v>
      </c>
      <c r="D1152" s="1229"/>
      <c r="E1152" s="74" t="s">
        <v>282</v>
      </c>
      <c r="F1152" s="75" t="s">
        <v>8</v>
      </c>
      <c r="G1152" s="58" t="s">
        <v>290</v>
      </c>
      <c r="H1152" s="336">
        <v>21998</v>
      </c>
      <c r="I1152" s="74" t="s">
        <v>283</v>
      </c>
      <c r="J1152" s="1199" t="s">
        <v>2547</v>
      </c>
      <c r="K1152" s="1230"/>
      <c r="L1152" s="1231"/>
      <c r="M1152" s="1146"/>
      <c r="N1152" s="1103"/>
      <c r="O1152"/>
      <c r="P1152" s="159"/>
      <c r="Q1152" s="147"/>
      <c r="T1152" s="149"/>
    </row>
    <row r="1153" spans="1:24" ht="30" customHeight="1">
      <c r="A1153" s="77" t="s">
        <v>293</v>
      </c>
      <c r="B1153" s="1232" t="s">
        <v>284</v>
      </c>
      <c r="C1153" s="1232"/>
      <c r="D1153" s="1232"/>
      <c r="E1153" s="78" t="s">
        <v>294</v>
      </c>
      <c r="F1153" s="96" t="s">
        <v>295</v>
      </c>
      <c r="G1153" s="77"/>
      <c r="H1153" s="77"/>
      <c r="I1153" s="1233" t="s">
        <v>426</v>
      </c>
      <c r="J1153" s="1234"/>
      <c r="K1153" s="1206" t="s">
        <v>297</v>
      </c>
      <c r="L1153" s="1207"/>
      <c r="M1153" s="1146"/>
      <c r="N1153" s="1103"/>
      <c r="O1153"/>
      <c r="P1153" s="159"/>
      <c r="Q1153" s="147"/>
      <c r="T1153" s="149"/>
    </row>
    <row r="1154" spans="1:24" ht="30" customHeight="1">
      <c r="A1154" s="97" t="s">
        <v>298</v>
      </c>
      <c r="B1154" s="1222" t="s">
        <v>996</v>
      </c>
      <c r="C1154" s="1222"/>
      <c r="D1154" s="1222"/>
      <c r="E1154" s="98">
        <v>96000</v>
      </c>
      <c r="F1154" s="99">
        <v>417</v>
      </c>
      <c r="G1154" s="100"/>
      <c r="H1154" s="101"/>
      <c r="I1154" s="1192">
        <f>+'2019 MILCON Inflation Table'!F14</f>
        <v>1.0543655984303466</v>
      </c>
      <c r="J1154" s="1193"/>
      <c r="K1154" s="99">
        <f>+F1154*I1154</f>
        <v>439.67045454545456</v>
      </c>
      <c r="L1154" s="97" t="s">
        <v>8</v>
      </c>
      <c r="M1154" s="1146"/>
      <c r="O1154"/>
      <c r="P1154" s="159"/>
      <c r="Q1154" s="147"/>
      <c r="T1154" s="149"/>
    </row>
    <row r="1155" spans="1:24" ht="30" customHeight="1" thickBot="1">
      <c r="A1155" s="20"/>
      <c r="B1155" s="1224"/>
      <c r="C1155" s="1224"/>
      <c r="D1155" s="1224"/>
      <c r="E1155" s="1225"/>
      <c r="F1155" s="1226"/>
      <c r="G1155" s="1226"/>
      <c r="H1155" s="1227"/>
      <c r="I1155" s="18"/>
      <c r="J1155" s="79" t="s">
        <v>289</v>
      </c>
      <c r="K1155" s="103">
        <f>+K1154</f>
        <v>439.67045454545456</v>
      </c>
      <c r="L1155" s="20" t="s">
        <v>8</v>
      </c>
      <c r="M1155" s="1146"/>
      <c r="N1155" s="1103"/>
      <c r="O1155"/>
      <c r="P1155" s="159"/>
      <c r="Q1155" s="147"/>
      <c r="T1155" s="149"/>
    </row>
    <row r="1156" spans="1:24" ht="30" customHeight="1" thickBot="1">
      <c r="A1156" s="1165"/>
      <c r="B1156" s="1166"/>
      <c r="C1156" s="1166"/>
      <c r="D1156" s="1166"/>
      <c r="E1156" s="1166"/>
      <c r="F1156" s="1166"/>
      <c r="G1156" s="1166"/>
      <c r="H1156" s="1166"/>
      <c r="I1156" s="1166"/>
      <c r="J1156" s="1166"/>
      <c r="K1156" s="1166"/>
      <c r="L1156" s="1167"/>
      <c r="M1156" s="1146"/>
      <c r="N1156" s="1103"/>
      <c r="O1156"/>
      <c r="P1156" s="159"/>
      <c r="Q1156" s="147"/>
      <c r="T1156" s="149"/>
    </row>
    <row r="1157" spans="1:24" ht="30" customHeight="1">
      <c r="A1157" s="81" t="s">
        <v>280</v>
      </c>
      <c r="B1157" s="82">
        <v>2114</v>
      </c>
      <c r="C1157" s="1228" t="s">
        <v>997</v>
      </c>
      <c r="D1157" s="1229"/>
      <c r="E1157" s="74" t="s">
        <v>282</v>
      </c>
      <c r="F1157" s="75" t="s">
        <v>8</v>
      </c>
      <c r="G1157" s="58" t="s">
        <v>290</v>
      </c>
      <c r="H1157" s="76">
        <v>8763</v>
      </c>
      <c r="I1157" s="74" t="s">
        <v>283</v>
      </c>
      <c r="J1157" s="1199" t="s">
        <v>2867</v>
      </c>
      <c r="K1157" s="1230"/>
      <c r="L1157" s="1231"/>
      <c r="M1157" s="1146"/>
      <c r="N1157" s="999"/>
      <c r="O1157"/>
      <c r="P1157" s="159"/>
      <c r="Q1157" s="147"/>
      <c r="T1157" s="149"/>
    </row>
    <row r="1158" spans="1:24" ht="30" customHeight="1">
      <c r="A1158" s="77" t="s">
        <v>293</v>
      </c>
      <c r="B1158" s="1232" t="s">
        <v>284</v>
      </c>
      <c r="C1158" s="1232"/>
      <c r="D1158" s="1232"/>
      <c r="E1158" s="78" t="s">
        <v>294</v>
      </c>
      <c r="F1158" s="96" t="s">
        <v>295</v>
      </c>
      <c r="G1158" s="1365" t="s">
        <v>332</v>
      </c>
      <c r="H1158" s="1366"/>
      <c r="I1158" s="1233" t="s">
        <v>426</v>
      </c>
      <c r="J1158" s="1234"/>
      <c r="K1158" s="1206" t="s">
        <v>297</v>
      </c>
      <c r="L1158" s="1207"/>
      <c r="M1158" s="1146"/>
      <c r="N1158" s="998"/>
      <c r="O1158"/>
      <c r="P1158" s="159"/>
      <c r="Q1158" s="147"/>
      <c r="T1158" s="149"/>
    </row>
    <row r="1159" spans="1:24" ht="30" customHeight="1">
      <c r="A1159" s="97">
        <v>21140</v>
      </c>
      <c r="B1159" s="1222" t="s">
        <v>998</v>
      </c>
      <c r="C1159" s="1222"/>
      <c r="D1159" s="1222"/>
      <c r="E1159" s="98">
        <v>26000</v>
      </c>
      <c r="F1159" s="105">
        <v>229</v>
      </c>
      <c r="G1159" s="97"/>
      <c r="H1159" s="445"/>
      <c r="I1159" s="1192">
        <f>+'2019 MILCON Inflation Table'!F10</f>
        <v>1.2327470846874402</v>
      </c>
      <c r="J1159" s="1193"/>
      <c r="K1159" s="106">
        <f>+F1159*I1159</f>
        <v>282.29908239342382</v>
      </c>
      <c r="L1159" s="97" t="s">
        <v>8</v>
      </c>
      <c r="M1159" s="1146"/>
      <c r="N1159" s="1103"/>
      <c r="O1159"/>
      <c r="P1159" s="159"/>
      <c r="Q1159" s="147"/>
      <c r="T1159" s="149"/>
    </row>
    <row r="1160" spans="1:24" ht="30" customHeight="1" thickBot="1">
      <c r="A1160" s="20"/>
      <c r="B1160" s="1224"/>
      <c r="C1160" s="1224"/>
      <c r="D1160" s="1224"/>
      <c r="E1160" s="1225"/>
      <c r="F1160" s="1226"/>
      <c r="G1160" s="1226"/>
      <c r="H1160" s="1227"/>
      <c r="I1160" s="18"/>
      <c r="J1160" s="79" t="s">
        <v>289</v>
      </c>
      <c r="K1160" s="107">
        <f>+K1159</f>
        <v>282.29908239342382</v>
      </c>
      <c r="L1160" s="20" t="s">
        <v>8</v>
      </c>
      <c r="M1160" s="1146"/>
      <c r="N1160" s="1103"/>
      <c r="O1160"/>
      <c r="P1160" s="159"/>
      <c r="Q1160" s="147"/>
      <c r="T1160" s="149"/>
    </row>
    <row r="1161" spans="1:24" ht="30" customHeight="1" thickBot="1">
      <c r="A1161" s="1165"/>
      <c r="B1161" s="1166"/>
      <c r="C1161" s="1166"/>
      <c r="D1161" s="1166"/>
      <c r="E1161" s="1166"/>
      <c r="F1161" s="1166"/>
      <c r="G1161" s="1166"/>
      <c r="H1161" s="1166"/>
      <c r="I1161" s="1166"/>
      <c r="J1161" s="1166"/>
      <c r="K1161" s="1166"/>
      <c r="L1161" s="1167"/>
      <c r="M1161" s="1146"/>
      <c r="N1161" s="998"/>
      <c r="O1161"/>
      <c r="P1161" s="159"/>
      <c r="Q1161" s="147"/>
      <c r="T1161" s="149"/>
    </row>
    <row r="1162" spans="1:24" ht="30" customHeight="1">
      <c r="A1162" s="81" t="s">
        <v>280</v>
      </c>
      <c r="B1162" s="82">
        <v>2115</v>
      </c>
      <c r="C1162" s="1228" t="s">
        <v>999</v>
      </c>
      <c r="D1162" s="1229"/>
      <c r="E1162" s="74" t="s">
        <v>282</v>
      </c>
      <c r="F1162" s="75" t="s">
        <v>8</v>
      </c>
      <c r="G1162" s="58" t="s">
        <v>290</v>
      </c>
      <c r="H1162" s="344">
        <v>102084</v>
      </c>
      <c r="I1162" s="74" t="s">
        <v>283</v>
      </c>
      <c r="J1162" s="1310" t="s">
        <v>2547</v>
      </c>
      <c r="K1162" s="1310"/>
      <c r="L1162" s="1311"/>
      <c r="M1162" s="1146"/>
      <c r="N1162" s="1103"/>
      <c r="O1162"/>
      <c r="P1162" s="159"/>
      <c r="Q1162" s="147"/>
      <c r="T1162" s="149"/>
    </row>
    <row r="1163" spans="1:24" ht="30" customHeight="1">
      <c r="A1163" s="77" t="s">
        <v>293</v>
      </c>
      <c r="B1163" s="1232" t="s">
        <v>284</v>
      </c>
      <c r="C1163" s="1232"/>
      <c r="D1163" s="1232"/>
      <c r="E1163" s="78" t="s">
        <v>294</v>
      </c>
      <c r="F1163" s="96" t="s">
        <v>295</v>
      </c>
      <c r="G1163" s="77"/>
      <c r="H1163" s="77"/>
      <c r="I1163" s="1233" t="s">
        <v>426</v>
      </c>
      <c r="J1163" s="1234"/>
      <c r="K1163" s="1206" t="s">
        <v>297</v>
      </c>
      <c r="L1163" s="1207"/>
      <c r="M1163" s="1146"/>
      <c r="N1163" s="1103"/>
      <c r="O1163"/>
      <c r="P1163" s="159"/>
      <c r="Q1163" s="147"/>
      <c r="T1163" s="149"/>
    </row>
    <row r="1164" spans="1:24" ht="30" customHeight="1">
      <c r="A1164" s="97" t="s">
        <v>298</v>
      </c>
      <c r="B1164" s="1222" t="s">
        <v>1000</v>
      </c>
      <c r="C1164" s="1222"/>
      <c r="D1164" s="1222"/>
      <c r="E1164" s="98">
        <v>36000</v>
      </c>
      <c r="F1164" s="99">
        <v>261</v>
      </c>
      <c r="G1164" s="100"/>
      <c r="H1164" s="101"/>
      <c r="I1164" s="1192" t="s">
        <v>2562</v>
      </c>
      <c r="J1164" s="1193"/>
      <c r="K1164" s="99">
        <f>+F1164</f>
        <v>261</v>
      </c>
      <c r="L1164" s="97" t="s">
        <v>8</v>
      </c>
      <c r="M1164" s="1146"/>
      <c r="N1164" s="1103"/>
      <c r="O1164"/>
      <c r="P1164" s="159"/>
      <c r="Q1164" s="147"/>
      <c r="T1164" s="149"/>
    </row>
    <row r="1165" spans="1:24" ht="30" customHeight="1" thickBot="1">
      <c r="A1165" s="20"/>
      <c r="B1165" s="1224"/>
      <c r="C1165" s="1224"/>
      <c r="D1165" s="1224"/>
      <c r="E1165" s="1225"/>
      <c r="F1165" s="1226"/>
      <c r="G1165" s="1226"/>
      <c r="H1165" s="1227"/>
      <c r="I1165" s="18"/>
      <c r="J1165" s="79" t="s">
        <v>289</v>
      </c>
      <c r="K1165" s="103">
        <f>+K1164</f>
        <v>261</v>
      </c>
      <c r="L1165" s="20" t="s">
        <v>8</v>
      </c>
      <c r="M1165" s="1146"/>
      <c r="N1165" s="1103"/>
      <c r="O1165"/>
      <c r="P1165" s="159"/>
      <c r="Q1165" s="147"/>
      <c r="T1165" s="149"/>
      <c r="U1165" s="38"/>
      <c r="V1165" s="38"/>
      <c r="W1165" s="38"/>
      <c r="X1165" s="38"/>
    </row>
    <row r="1166" spans="1:24" s="38" customFormat="1" ht="30" customHeight="1" thickBot="1">
      <c r="A1166" s="1165"/>
      <c r="B1166" s="1166"/>
      <c r="C1166" s="1166"/>
      <c r="D1166" s="1166"/>
      <c r="E1166" s="1166"/>
      <c r="F1166" s="1166"/>
      <c r="G1166" s="1166"/>
      <c r="H1166" s="1166"/>
      <c r="I1166" s="1166"/>
      <c r="J1166" s="1166"/>
      <c r="K1166" s="1166"/>
      <c r="L1166" s="1167"/>
      <c r="M1166" s="1146"/>
      <c r="N1166" s="1103"/>
      <c r="P1166" s="159"/>
      <c r="Q1166" s="147"/>
      <c r="T1166" s="149"/>
      <c r="U1166"/>
      <c r="V1166"/>
      <c r="W1166"/>
      <c r="X1166"/>
    </row>
    <row r="1167" spans="1:24" ht="30" customHeight="1">
      <c r="A1167" s="81" t="s">
        <v>280</v>
      </c>
      <c r="B1167" s="82">
        <v>2116</v>
      </c>
      <c r="C1167" s="1228" t="s">
        <v>1001</v>
      </c>
      <c r="D1167" s="1229"/>
      <c r="E1167" s="74" t="s">
        <v>282</v>
      </c>
      <c r="F1167" s="75" t="s">
        <v>8</v>
      </c>
      <c r="G1167" s="58" t="s">
        <v>290</v>
      </c>
      <c r="H1167" s="104">
        <v>21981</v>
      </c>
      <c r="I1167" s="74" t="s">
        <v>283</v>
      </c>
      <c r="J1167" s="1199" t="s">
        <v>1002</v>
      </c>
      <c r="K1167" s="1230"/>
      <c r="L1167" s="1231"/>
      <c r="M1167" s="1146"/>
      <c r="O1167"/>
      <c r="P1167" s="159"/>
      <c r="Q1167" s="147"/>
      <c r="T1167" s="149"/>
    </row>
    <row r="1168" spans="1:24" ht="30" customHeight="1">
      <c r="A1168" s="77" t="s">
        <v>293</v>
      </c>
      <c r="B1168" s="1232" t="s">
        <v>284</v>
      </c>
      <c r="C1168" s="1232"/>
      <c r="D1168" s="1232"/>
      <c r="E1168" s="96" t="s">
        <v>295</v>
      </c>
      <c r="F1168" s="77" t="s">
        <v>294</v>
      </c>
      <c r="G1168" s="1365" t="s">
        <v>332</v>
      </c>
      <c r="H1168" s="1366"/>
      <c r="I1168" s="1233" t="s">
        <v>296</v>
      </c>
      <c r="J1168" s="1234"/>
      <c r="K1168" s="1206" t="s">
        <v>297</v>
      </c>
      <c r="L1168" s="1207"/>
      <c r="M1168" s="1146"/>
      <c r="O1168"/>
      <c r="P1168" s="159"/>
      <c r="Q1168" s="147"/>
      <c r="T1168" s="149"/>
    </row>
    <row r="1169" spans="1:20" ht="30" customHeight="1">
      <c r="A1169" s="20">
        <v>21120</v>
      </c>
      <c r="B1169" s="1179" t="s">
        <v>1003</v>
      </c>
      <c r="C1169" s="1180"/>
      <c r="D1169" s="1181"/>
      <c r="E1169" s="153">
        <v>267.67</v>
      </c>
      <c r="F1169" s="316">
        <v>32000</v>
      </c>
      <c r="G1169" s="286"/>
      <c r="H1169" s="286"/>
      <c r="I1169" s="1192">
        <f>+'2019 MILCON Inflation Table'!F13</f>
        <v>1.0963107786467188</v>
      </c>
      <c r="J1169" s="1193"/>
      <c r="K1169" s="106">
        <f>+E1169*I1169</f>
        <v>293.44950612036723</v>
      </c>
      <c r="L1169" s="97" t="s">
        <v>8</v>
      </c>
      <c r="M1169" s="1146"/>
      <c r="N1169" s="1103"/>
      <c r="O1169"/>
      <c r="P1169" s="159"/>
      <c r="Q1169" s="147"/>
      <c r="T1169" s="149"/>
    </row>
    <row r="1170" spans="1:20" ht="30" customHeight="1" thickBot="1">
      <c r="A1170" s="20"/>
      <c r="B1170" s="91"/>
      <c r="C1170" s="181"/>
      <c r="D1170" s="181"/>
      <c r="E1170" s="181"/>
      <c r="F1170" s="338"/>
      <c r="G1170" s="181"/>
      <c r="H1170" s="339"/>
      <c r="I1170" s="18"/>
      <c r="J1170" s="79" t="s">
        <v>289</v>
      </c>
      <c r="K1170" s="107">
        <f>AVERAGE(K1169:K1169)</f>
        <v>293.44950612036723</v>
      </c>
      <c r="L1170" s="97" t="s">
        <v>8</v>
      </c>
      <c r="M1170" s="1146"/>
      <c r="N1170" s="1103"/>
      <c r="O1170"/>
      <c r="P1170" s="159"/>
      <c r="Q1170" s="147"/>
      <c r="T1170" s="149"/>
    </row>
    <row r="1171" spans="1:20" ht="30" customHeight="1" thickBot="1">
      <c r="A1171" s="1165"/>
      <c r="B1171" s="1166"/>
      <c r="C1171" s="1166"/>
      <c r="D1171" s="1166"/>
      <c r="E1171" s="1166"/>
      <c r="F1171" s="1166"/>
      <c r="G1171" s="1166"/>
      <c r="H1171" s="1166"/>
      <c r="I1171" s="1166"/>
      <c r="J1171" s="1166"/>
      <c r="K1171" s="1166"/>
      <c r="L1171" s="1167"/>
      <c r="M1171" s="1146"/>
      <c r="N1171" s="1103"/>
      <c r="O1171"/>
      <c r="P1171" s="159"/>
      <c r="Q1171" s="147"/>
      <c r="T1171" s="149"/>
    </row>
    <row r="1172" spans="1:20" ht="30" customHeight="1">
      <c r="A1172" s="81" t="s">
        <v>280</v>
      </c>
      <c r="B1172" s="82">
        <v>2118</v>
      </c>
      <c r="C1172" s="1228" t="s">
        <v>1004</v>
      </c>
      <c r="D1172" s="1229"/>
      <c r="E1172" s="74" t="s">
        <v>282</v>
      </c>
      <c r="F1172" s="75" t="s">
        <v>10</v>
      </c>
      <c r="G1172" s="58" t="s">
        <v>290</v>
      </c>
      <c r="H1172" s="446" t="s">
        <v>2621</v>
      </c>
      <c r="I1172" s="74" t="s">
        <v>283</v>
      </c>
      <c r="J1172" s="1199" t="s">
        <v>1005</v>
      </c>
      <c r="K1172" s="1230"/>
      <c r="L1172" s="1231"/>
      <c r="M1172" s="1146"/>
      <c r="N1172" s="1103"/>
      <c r="O1172"/>
      <c r="P1172" s="159"/>
      <c r="Q1172" s="147"/>
      <c r="T1172" s="149"/>
    </row>
    <row r="1173" spans="1:20" ht="30" customHeight="1">
      <c r="A1173" s="77" t="s">
        <v>293</v>
      </c>
      <c r="B1173" s="1232" t="s">
        <v>284</v>
      </c>
      <c r="C1173" s="1232"/>
      <c r="D1173" s="1232"/>
      <c r="E1173" s="96" t="s">
        <v>295</v>
      </c>
      <c r="F1173" s="77" t="s">
        <v>294</v>
      </c>
      <c r="G1173" s="1365" t="s">
        <v>332</v>
      </c>
      <c r="H1173" s="1366"/>
      <c r="I1173" s="1233" t="s">
        <v>426</v>
      </c>
      <c r="J1173" s="1234"/>
      <c r="K1173" s="1206" t="s">
        <v>297</v>
      </c>
      <c r="L1173" s="1207"/>
      <c r="M1173" s="1146"/>
      <c r="N1173" s="1103"/>
      <c r="O1173"/>
      <c r="P1173" s="159"/>
      <c r="Q1173" s="147"/>
      <c r="T1173" s="149"/>
    </row>
    <row r="1174" spans="1:20" ht="30" customHeight="1">
      <c r="A1174" s="20">
        <v>21140</v>
      </c>
      <c r="B1174" s="1179" t="s">
        <v>998</v>
      </c>
      <c r="C1174" s="1180"/>
      <c r="D1174" s="1181"/>
      <c r="E1174" s="153">
        <v>229</v>
      </c>
      <c r="F1174" s="316">
        <v>26000</v>
      </c>
      <c r="G1174" s="355">
        <v>11305</v>
      </c>
      <c r="H1174" s="286" t="s">
        <v>334</v>
      </c>
      <c r="I1174" s="1192">
        <f>+'2019 MILCON Inflation Table'!F10</f>
        <v>1.2327470846874402</v>
      </c>
      <c r="J1174" s="1193"/>
      <c r="K1174" s="106">
        <f>+E1174*G1174*I1174</f>
        <v>3191391.1264576563</v>
      </c>
      <c r="L1174" s="97" t="s">
        <v>10</v>
      </c>
      <c r="M1174" s="1146"/>
      <c r="N1174" s="1103"/>
      <c r="O1174"/>
      <c r="P1174" s="159"/>
      <c r="Q1174" s="147"/>
      <c r="T1174" s="149"/>
    </row>
    <row r="1175" spans="1:20" ht="30" customHeight="1" thickBot="1">
      <c r="A1175" s="20"/>
      <c r="B1175" s="1458" t="s">
        <v>2622</v>
      </c>
      <c r="C1175" s="1459"/>
      <c r="D1175" s="1459"/>
      <c r="E1175" s="181"/>
      <c r="F1175" s="338"/>
      <c r="G1175" s="181"/>
      <c r="H1175" s="339"/>
      <c r="I1175" s="18"/>
      <c r="J1175" s="79" t="s">
        <v>289</v>
      </c>
      <c r="K1175" s="107">
        <f>AVERAGE(K1174:K1174)</f>
        <v>3191391.1264576563</v>
      </c>
      <c r="L1175" s="97" t="s">
        <v>10</v>
      </c>
      <c r="M1175" s="1146"/>
      <c r="O1175"/>
      <c r="P1175" s="159"/>
      <c r="Q1175" s="147"/>
      <c r="T1175" s="149"/>
    </row>
    <row r="1176" spans="1:20" ht="30" customHeight="1" thickBot="1">
      <c r="A1176" s="1165"/>
      <c r="B1176" s="1166"/>
      <c r="C1176" s="1166"/>
      <c r="D1176" s="1166"/>
      <c r="E1176" s="1166"/>
      <c r="F1176" s="1166"/>
      <c r="G1176" s="1166"/>
      <c r="H1176" s="1166"/>
      <c r="I1176" s="1166"/>
      <c r="J1176" s="1166"/>
      <c r="K1176" s="1166"/>
      <c r="L1176" s="1167"/>
      <c r="M1176" s="1146"/>
      <c r="O1176"/>
      <c r="P1176" s="159"/>
      <c r="Q1176" s="147"/>
      <c r="T1176" s="149"/>
    </row>
    <row r="1177" spans="1:20" ht="30" customHeight="1">
      <c r="A1177" s="162" t="s">
        <v>280</v>
      </c>
      <c r="B1177" s="163">
        <v>2121</v>
      </c>
      <c r="C1177" s="1457" t="s">
        <v>1006</v>
      </c>
      <c r="D1177" s="1457"/>
      <c r="E1177" s="216" t="s">
        <v>282</v>
      </c>
      <c r="F1177" s="217" t="s">
        <v>8</v>
      </c>
      <c r="G1177" s="447" t="s">
        <v>290</v>
      </c>
      <c r="H1177" s="1043">
        <v>10918</v>
      </c>
      <c r="I1177" s="448" t="s">
        <v>283</v>
      </c>
      <c r="J1177" s="1745" t="s">
        <v>2527</v>
      </c>
      <c r="K1177" s="1745"/>
      <c r="L1177" s="1746"/>
      <c r="M1177" s="1146"/>
      <c r="N1177" s="1103"/>
      <c r="O1177"/>
      <c r="P1177" s="159"/>
      <c r="Q1177" s="147"/>
      <c r="T1177" s="149"/>
    </row>
    <row r="1178" spans="1:20" ht="30" customHeight="1">
      <c r="A1178" s="165" t="s">
        <v>304</v>
      </c>
      <c r="B1178" s="1324" t="s">
        <v>330</v>
      </c>
      <c r="C1178" s="1325"/>
      <c r="D1178" s="1326"/>
      <c r="E1178" s="219" t="s">
        <v>295</v>
      </c>
      <c r="F1178" s="219" t="s">
        <v>331</v>
      </c>
      <c r="G1178" s="1206" t="s">
        <v>332</v>
      </c>
      <c r="H1178" s="1207"/>
      <c r="I1178" s="449" t="s">
        <v>1007</v>
      </c>
      <c r="J1178" s="167" t="s">
        <v>305</v>
      </c>
      <c r="K1178" s="1206" t="s">
        <v>297</v>
      </c>
      <c r="L1178" s="1207"/>
      <c r="M1178" s="1146"/>
      <c r="N1178" s="1103"/>
      <c r="O1178"/>
      <c r="P1178" s="159"/>
      <c r="Q1178" s="147"/>
      <c r="T1178" s="149"/>
    </row>
    <row r="1179" spans="1:20" ht="30" customHeight="1">
      <c r="A1179" s="10" t="s">
        <v>459</v>
      </c>
      <c r="B1179" s="1162" t="s">
        <v>2623</v>
      </c>
      <c r="C1179" s="1163"/>
      <c r="D1179" s="1164"/>
      <c r="E1179" s="115">
        <f>154-2.36</f>
        <v>151.63999999999999</v>
      </c>
      <c r="F1179" s="10" t="s">
        <v>8</v>
      </c>
      <c r="G1179" s="450"/>
      <c r="H1179" s="297"/>
      <c r="I1179" s="451">
        <f>+E1179</f>
        <v>151.63999999999999</v>
      </c>
      <c r="J1179" s="10">
        <v>1.05</v>
      </c>
      <c r="K1179" s="299">
        <f t="shared" ref="K1179:K1189" si="33">+I1179*J1179</f>
        <v>159.22199999999998</v>
      </c>
      <c r="L1179" s="10" t="s">
        <v>8</v>
      </c>
      <c r="M1179" s="1146"/>
      <c r="O1179"/>
      <c r="P1179" s="159"/>
      <c r="Q1179" s="147"/>
      <c r="T1179" s="149"/>
    </row>
    <row r="1180" spans="1:20" ht="30" customHeight="1">
      <c r="A1180" s="10" t="s">
        <v>377</v>
      </c>
      <c r="B1180" s="1162" t="s">
        <v>384</v>
      </c>
      <c r="C1180" s="1163"/>
      <c r="D1180" s="1164"/>
      <c r="E1180" s="142">
        <v>4.17</v>
      </c>
      <c r="F1180" s="10" t="s">
        <v>8</v>
      </c>
      <c r="G1180" s="452"/>
      <c r="H1180" s="439"/>
      <c r="I1180" s="453">
        <f>+E1180</f>
        <v>4.17</v>
      </c>
      <c r="J1180" s="10">
        <v>1.05</v>
      </c>
      <c r="K1180" s="299">
        <f t="shared" si="33"/>
        <v>4.3784999999999998</v>
      </c>
      <c r="L1180" s="10" t="s">
        <v>8</v>
      </c>
      <c r="M1180" s="1146"/>
      <c r="N1180" s="1103"/>
      <c r="O1180"/>
      <c r="P1180" s="159"/>
      <c r="Q1180" s="147"/>
      <c r="T1180" s="149"/>
    </row>
    <row r="1181" spans="1:20" ht="30" customHeight="1">
      <c r="A1181" s="10" t="s">
        <v>377</v>
      </c>
      <c r="B1181" s="1162" t="s">
        <v>1008</v>
      </c>
      <c r="C1181" s="1163"/>
      <c r="D1181" s="1164"/>
      <c r="E1181" s="14">
        <f>0.15*E1180</f>
        <v>0.62549999999999994</v>
      </c>
      <c r="F1181" s="401" t="s">
        <v>8</v>
      </c>
      <c r="G1181" s="452"/>
      <c r="H1181" s="439"/>
      <c r="I1181" s="453">
        <f>+E1181</f>
        <v>0.62549999999999994</v>
      </c>
      <c r="J1181" s="10">
        <v>1.05</v>
      </c>
      <c r="K1181" s="299">
        <f t="shared" si="33"/>
        <v>0.656775</v>
      </c>
      <c r="L1181" s="10" t="s">
        <v>8</v>
      </c>
      <c r="M1181" s="1146"/>
      <c r="N1181" s="1103"/>
      <c r="O1181"/>
      <c r="P1181" s="159"/>
      <c r="Q1181" s="147"/>
      <c r="T1181" s="149"/>
    </row>
    <row r="1182" spans="1:20" ht="30" customHeight="1">
      <c r="A1182" s="10" t="s">
        <v>377</v>
      </c>
      <c r="B1182" s="1162" t="s">
        <v>1009</v>
      </c>
      <c r="C1182" s="1163"/>
      <c r="D1182" s="1164"/>
      <c r="E1182" s="14">
        <f xml:space="preserve"> 0.52+((1.03+1.53)/2)</f>
        <v>1.8</v>
      </c>
      <c r="F1182" s="401" t="s">
        <v>8</v>
      </c>
      <c r="G1182" s="452"/>
      <c r="H1182" s="439"/>
      <c r="I1182" s="453">
        <f>+E1182</f>
        <v>1.8</v>
      </c>
      <c r="J1182" s="10">
        <v>1.05</v>
      </c>
      <c r="K1182" s="299">
        <f t="shared" si="33"/>
        <v>1.8900000000000001</v>
      </c>
      <c r="L1182" s="10" t="s">
        <v>8</v>
      </c>
      <c r="M1182" s="1146"/>
      <c r="N1182" s="1103"/>
      <c r="O1182"/>
      <c r="P1182" s="159"/>
      <c r="Q1182" s="147"/>
      <c r="T1182" s="149"/>
    </row>
    <row r="1183" spans="1:20" ht="30" customHeight="1">
      <c r="A1183" s="10" t="s">
        <v>461</v>
      </c>
      <c r="B1183" s="1162" t="s">
        <v>1010</v>
      </c>
      <c r="C1183" s="1163"/>
      <c r="D1183" s="1164"/>
      <c r="E1183" s="115">
        <v>166000</v>
      </c>
      <c r="F1183" s="401" t="s">
        <v>10</v>
      </c>
      <c r="G1183" s="452"/>
      <c r="H1183" s="439" t="s">
        <v>1011</v>
      </c>
      <c r="I1183" s="453">
        <f>+E1183/H1177</f>
        <v>15.204249862612199</v>
      </c>
      <c r="J1183" s="10">
        <v>1.07</v>
      </c>
      <c r="K1183" s="299">
        <f t="shared" si="33"/>
        <v>16.268547352995054</v>
      </c>
      <c r="L1183" s="10" t="s">
        <v>8</v>
      </c>
      <c r="M1183" s="1146"/>
      <c r="N1183" s="1103"/>
      <c r="O1183"/>
      <c r="P1183" s="159"/>
      <c r="Q1183" s="147"/>
      <c r="T1183" s="149"/>
    </row>
    <row r="1184" spans="1:20" ht="30" customHeight="1">
      <c r="A1184" s="10" t="s">
        <v>395</v>
      </c>
      <c r="B1184" s="1297" t="s">
        <v>1012</v>
      </c>
      <c r="C1184" s="1275"/>
      <c r="D1184" s="1275"/>
      <c r="E1184" s="14">
        <f>+(19.15+29.75)/2</f>
        <v>24.45</v>
      </c>
      <c r="F1184" s="10" t="s">
        <v>1013</v>
      </c>
      <c r="G1184" s="130">
        <v>162</v>
      </c>
      <c r="H1184" s="14" t="s">
        <v>1014</v>
      </c>
      <c r="I1184" s="453">
        <f>+E1184*G1184/H1177</f>
        <v>0.36278622458325699</v>
      </c>
      <c r="J1184" s="10">
        <v>1.06</v>
      </c>
      <c r="K1184" s="299">
        <f t="shared" si="33"/>
        <v>0.38455339805825245</v>
      </c>
      <c r="L1184" s="10" t="s">
        <v>8</v>
      </c>
      <c r="M1184" s="1146"/>
      <c r="N1184" s="1103"/>
      <c r="O1184"/>
      <c r="P1184" s="159"/>
      <c r="Q1184" s="147"/>
      <c r="T1184" s="149"/>
    </row>
    <row r="1185" spans="1:24" ht="30" customHeight="1">
      <c r="A1185" s="10" t="s">
        <v>395</v>
      </c>
      <c r="B1185" s="1461" t="s">
        <v>1015</v>
      </c>
      <c r="C1185" s="1462"/>
      <c r="D1185" s="1463"/>
      <c r="E1185" s="454">
        <f>+(1610+2280)/2</f>
        <v>1945</v>
      </c>
      <c r="F1185" s="10" t="s">
        <v>10</v>
      </c>
      <c r="G1185" s="130">
        <v>2</v>
      </c>
      <c r="H1185" s="14" t="s">
        <v>1016</v>
      </c>
      <c r="I1185" s="453">
        <f>+E1185*G1185/H1177</f>
        <v>0.35629236123832203</v>
      </c>
      <c r="J1185" s="10">
        <v>1.06</v>
      </c>
      <c r="K1185" s="299">
        <f t="shared" si="33"/>
        <v>0.37766990291262137</v>
      </c>
      <c r="L1185" s="10" t="s">
        <v>8</v>
      </c>
      <c r="M1185" s="1146"/>
      <c r="N1185" s="1103"/>
      <c r="O1185"/>
      <c r="P1185" s="159"/>
      <c r="Q1185" s="147"/>
      <c r="T1185" s="149"/>
    </row>
    <row r="1186" spans="1:24" ht="30" customHeight="1">
      <c r="A1186" s="10" t="s">
        <v>398</v>
      </c>
      <c r="B1186" s="1162" t="s">
        <v>1017</v>
      </c>
      <c r="C1186" s="1163"/>
      <c r="D1186" s="1164"/>
      <c r="E1186" s="115">
        <f>+(32.75+78)/2</f>
        <v>55.375</v>
      </c>
      <c r="F1186" s="401" t="s">
        <v>6</v>
      </c>
      <c r="G1186" s="452">
        <v>20</v>
      </c>
      <c r="H1186" s="439" t="s">
        <v>1014</v>
      </c>
      <c r="I1186" s="453">
        <f>+E1186*G1186/H1177</f>
        <v>0.1014379923062832</v>
      </c>
      <c r="J1186" s="10">
        <v>1.04</v>
      </c>
      <c r="K1186" s="299">
        <f t="shared" si="33"/>
        <v>0.10549551199853453</v>
      </c>
      <c r="L1186" s="10" t="s">
        <v>8</v>
      </c>
      <c r="M1186" s="1146"/>
      <c r="N1186" s="1103"/>
      <c r="O1186"/>
      <c r="P1186" s="159"/>
      <c r="Q1186" s="147"/>
      <c r="T1186" s="149"/>
    </row>
    <row r="1187" spans="1:24" ht="30" customHeight="1">
      <c r="A1187" s="10" t="s">
        <v>398</v>
      </c>
      <c r="B1187" s="1162" t="s">
        <v>401</v>
      </c>
      <c r="C1187" s="1163"/>
      <c r="D1187" s="1164"/>
      <c r="E1187" s="115">
        <f>+(6150+11800)/2</f>
        <v>8975</v>
      </c>
      <c r="F1187" s="401" t="s">
        <v>10</v>
      </c>
      <c r="G1187" s="452">
        <v>2</v>
      </c>
      <c r="H1187" s="439" t="s">
        <v>1011</v>
      </c>
      <c r="I1187" s="453">
        <f>+E1187*G1187/H1177</f>
        <v>1.6440740062282468</v>
      </c>
      <c r="J1187" s="10">
        <v>1.04</v>
      </c>
      <c r="K1187" s="299">
        <f t="shared" si="33"/>
        <v>1.7098369664773767</v>
      </c>
      <c r="L1187" s="10" t="s">
        <v>8</v>
      </c>
      <c r="M1187" s="1146"/>
      <c r="N1187" s="1103"/>
      <c r="O1187"/>
      <c r="P1187" s="159"/>
      <c r="Q1187" s="147"/>
      <c r="T1187" s="149"/>
    </row>
    <row r="1188" spans="1:24" ht="30" customHeight="1">
      <c r="A1188" s="10" t="s">
        <v>398</v>
      </c>
      <c r="B1188" s="1162" t="s">
        <v>1018</v>
      </c>
      <c r="C1188" s="1163"/>
      <c r="D1188" s="1164"/>
      <c r="E1188" s="142">
        <f>+(630+965)/2</f>
        <v>797.5</v>
      </c>
      <c r="F1188" s="401" t="s">
        <v>10</v>
      </c>
      <c r="G1188" s="452">
        <v>2</v>
      </c>
      <c r="H1188" s="439" t="s">
        <v>1011</v>
      </c>
      <c r="I1188" s="453">
        <f>+E1188*G1188/H1177</f>
        <v>0.14608902729437626</v>
      </c>
      <c r="J1188" s="10">
        <v>1.04</v>
      </c>
      <c r="K1188" s="299">
        <f t="shared" si="33"/>
        <v>0.15193258838615131</v>
      </c>
      <c r="L1188" s="10" t="s">
        <v>8</v>
      </c>
      <c r="M1188" s="1146"/>
      <c r="N1188" s="1103"/>
      <c r="O1188"/>
      <c r="P1188" s="159"/>
      <c r="Q1188" s="147"/>
      <c r="T1188" s="149"/>
    </row>
    <row r="1189" spans="1:24" ht="30" customHeight="1">
      <c r="A1189" s="10" t="s">
        <v>398</v>
      </c>
      <c r="B1189" s="1162" t="s">
        <v>403</v>
      </c>
      <c r="C1189" s="1163"/>
      <c r="D1189" s="1164"/>
      <c r="E1189" s="115">
        <f>+(1110+3300)/2</f>
        <v>2205</v>
      </c>
      <c r="F1189" s="401" t="s">
        <v>10</v>
      </c>
      <c r="G1189" s="452">
        <v>2</v>
      </c>
      <c r="H1189" s="439" t="s">
        <v>1011</v>
      </c>
      <c r="I1189" s="453">
        <f>+E1189*G1189/H1177</f>
        <v>0.40392013189228798</v>
      </c>
      <c r="J1189" s="10">
        <v>1.04</v>
      </c>
      <c r="K1189" s="299">
        <f t="shared" si="33"/>
        <v>0.4200769371679795</v>
      </c>
      <c r="L1189" s="10" t="s">
        <v>8</v>
      </c>
      <c r="M1189" s="1146"/>
      <c r="N1189" s="1103"/>
      <c r="O1189"/>
      <c r="P1189" s="159"/>
      <c r="Q1189" s="147"/>
      <c r="T1189" s="149"/>
    </row>
    <row r="1190" spans="1:24" ht="30" customHeight="1">
      <c r="A1190" s="10"/>
      <c r="B1190" s="1375"/>
      <c r="C1190" s="1375"/>
      <c r="D1190" s="1375"/>
      <c r="E1190" s="115"/>
      <c r="F1190" s="10"/>
      <c r="G1190" s="402"/>
      <c r="H1190" s="403"/>
      <c r="I1190" s="403"/>
      <c r="J1190" s="10" t="s">
        <v>379</v>
      </c>
      <c r="K1190" s="115">
        <f>SUM(K1179:K1189)</f>
        <v>185.56538765799596</v>
      </c>
      <c r="L1190" s="10" t="s">
        <v>8</v>
      </c>
      <c r="M1190" s="1146"/>
      <c r="N1190" s="1103"/>
      <c r="O1190"/>
      <c r="P1190" s="159"/>
      <c r="Q1190" s="147"/>
      <c r="T1190" s="149"/>
    </row>
    <row r="1191" spans="1:24" ht="30" customHeight="1">
      <c r="A1191" s="20"/>
      <c r="B1191" s="157"/>
      <c r="C1191" s="157"/>
      <c r="D1191" s="157"/>
      <c r="E1191" s="157"/>
      <c r="F1191" s="1460" t="s">
        <v>308</v>
      </c>
      <c r="G1191" s="1208" t="s">
        <v>309</v>
      </c>
      <c r="H1191" s="1208"/>
      <c r="I1191" s="1208"/>
      <c r="J1191" s="1208"/>
      <c r="K1191" s="123">
        <v>1.06</v>
      </c>
      <c r="L1191" s="10"/>
      <c r="M1191" s="1146"/>
      <c r="N1191" s="1103"/>
      <c r="O1191"/>
      <c r="P1191" s="159"/>
      <c r="Q1191" s="147"/>
      <c r="T1191" s="149"/>
    </row>
    <row r="1192" spans="1:24" ht="30" customHeight="1">
      <c r="A1192" s="20"/>
      <c r="B1192" s="157"/>
      <c r="C1192" s="157"/>
      <c r="D1192" s="157"/>
      <c r="E1192" s="157"/>
      <c r="F1192" s="1460"/>
      <c r="G1192" s="1209" t="s">
        <v>310</v>
      </c>
      <c r="H1192" s="1209"/>
      <c r="I1192" s="1209"/>
      <c r="J1192" s="1209"/>
      <c r="K1192" s="123">
        <v>1.07</v>
      </c>
      <c r="L1192" s="10"/>
      <c r="M1192" s="1146"/>
      <c r="N1192" s="1103"/>
      <c r="O1192"/>
      <c r="P1192" s="159"/>
      <c r="Q1192" s="147"/>
      <c r="T1192" s="149"/>
    </row>
    <row r="1193" spans="1:24" ht="30" customHeight="1">
      <c r="A1193" s="10"/>
      <c r="B1193" s="10"/>
      <c r="C1193" s="13"/>
      <c r="D1193" s="13"/>
      <c r="E1193" s="13"/>
      <c r="F1193" s="13"/>
      <c r="G1193" s="13"/>
      <c r="H1193" s="13"/>
      <c r="I1193" s="13"/>
      <c r="J1193" s="10" t="s">
        <v>289</v>
      </c>
      <c r="K1193" s="14">
        <f>+K1190*K1191/K1192</f>
        <v>183.83113169857543</v>
      </c>
      <c r="L1193" s="10" t="s">
        <v>8</v>
      </c>
      <c r="M1193" s="1146"/>
      <c r="N1193" s="1103"/>
      <c r="O1193"/>
      <c r="P1193" s="159"/>
      <c r="Q1193" s="147"/>
      <c r="T1193" s="149"/>
    </row>
    <row r="1194" spans="1:24" ht="30" customHeight="1">
      <c r="A1194" s="10"/>
      <c r="B1194" s="10"/>
      <c r="C1194" s="13"/>
      <c r="D1194" s="13"/>
      <c r="E1194" s="13"/>
      <c r="F1194" s="235" t="s">
        <v>385</v>
      </c>
      <c r="G1194" s="13"/>
      <c r="H1194" s="13"/>
      <c r="I1194" s="13"/>
      <c r="J1194" s="139">
        <f>VLOOKUP(B1177,'Mil Cost Premiums for RUCs'!$A$4:$R$266,18,FALSE)</f>
        <v>1.1932356231980656</v>
      </c>
      <c r="K1194" s="14">
        <f>+K1193*J1194</f>
        <v>219.35385499555534</v>
      </c>
      <c r="L1194" s="10" t="s">
        <v>8</v>
      </c>
      <c r="M1194" s="1146"/>
      <c r="N1194" s="1103"/>
      <c r="O1194"/>
      <c r="P1194" s="159"/>
      <c r="Q1194" s="147"/>
      <c r="T1194" s="149"/>
    </row>
    <row r="1195" spans="1:24" ht="60" customHeight="1">
      <c r="A1195" s="1335" t="s">
        <v>313</v>
      </c>
      <c r="B1195" s="1335"/>
      <c r="C1195" s="1335"/>
      <c r="D1195" s="1335"/>
      <c r="E1195" s="1335"/>
      <c r="F1195" s="1335"/>
      <c r="G1195" s="1335"/>
      <c r="H1195" s="1335"/>
      <c r="I1195" s="1335"/>
      <c r="J1195" s="1335"/>
      <c r="K1195" s="1335"/>
      <c r="L1195" s="1335"/>
      <c r="M1195" s="1146"/>
      <c r="N1195" s="1103"/>
      <c r="O1195"/>
      <c r="P1195" s="159"/>
      <c r="Q1195" s="147"/>
      <c r="T1195" s="149"/>
    </row>
    <row r="1196" spans="1:24" ht="30" customHeight="1">
      <c r="A1196" s="1428" t="s">
        <v>314</v>
      </c>
      <c r="B1196" s="1429"/>
      <c r="C1196" s="1430"/>
      <c r="D1196" s="1337" t="s">
        <v>2545</v>
      </c>
      <c r="E1196" s="1338"/>
      <c r="F1196" s="1338"/>
      <c r="G1196" s="1338"/>
      <c r="H1196" s="1338"/>
      <c r="I1196" s="1338"/>
      <c r="J1196" s="1338"/>
      <c r="K1196" s="1338"/>
      <c r="L1196" s="1339"/>
      <c r="M1196" s="1146"/>
      <c r="N1196" s="1103"/>
      <c r="O1196"/>
      <c r="P1196" s="159"/>
      <c r="Q1196" s="147"/>
      <c r="T1196" s="149"/>
    </row>
    <row r="1197" spans="1:24" ht="30" customHeight="1">
      <c r="A1197" s="1428" t="s">
        <v>316</v>
      </c>
      <c r="B1197" s="1429"/>
      <c r="C1197" s="1430"/>
      <c r="D1197" s="1337" t="s">
        <v>1019</v>
      </c>
      <c r="E1197" s="1338"/>
      <c r="F1197" s="1338"/>
      <c r="G1197" s="1338"/>
      <c r="H1197" s="1338"/>
      <c r="I1197" s="1338"/>
      <c r="J1197" s="1338"/>
      <c r="K1197" s="1338"/>
      <c r="L1197" s="1339"/>
      <c r="M1197" s="1146"/>
      <c r="N1197" s="1103"/>
      <c r="O1197"/>
      <c r="P1197" s="159"/>
      <c r="Q1197" s="147"/>
      <c r="T1197" s="149"/>
    </row>
    <row r="1198" spans="1:24" ht="30" customHeight="1">
      <c r="A1198" s="1428" t="s">
        <v>317</v>
      </c>
      <c r="B1198" s="1429"/>
      <c r="C1198" s="1430"/>
      <c r="D1198" s="1336" t="s">
        <v>2681</v>
      </c>
      <c r="E1198" s="1315"/>
      <c r="F1198" s="1315"/>
      <c r="G1198" s="1315"/>
      <c r="H1198" s="1315"/>
      <c r="I1198" s="1315"/>
      <c r="J1198" s="1315"/>
      <c r="K1198" s="1315"/>
      <c r="L1198" s="1316"/>
      <c r="M1198" s="1146"/>
      <c r="N1198" s="1103"/>
      <c r="O1198"/>
      <c r="P1198" s="159"/>
      <c r="Q1198" s="147"/>
      <c r="T1198" s="149"/>
    </row>
    <row r="1199" spans="1:24" ht="30" customHeight="1">
      <c r="A1199" s="1428" t="s">
        <v>318</v>
      </c>
      <c r="B1199" s="1429"/>
      <c r="C1199" s="1430"/>
      <c r="D1199" s="1337" t="s">
        <v>1020</v>
      </c>
      <c r="E1199" s="1338"/>
      <c r="F1199" s="1338"/>
      <c r="G1199" s="1338"/>
      <c r="H1199" s="1338"/>
      <c r="I1199" s="1338"/>
      <c r="J1199" s="1338"/>
      <c r="K1199" s="1338"/>
      <c r="L1199" s="1339"/>
      <c r="M1199" s="1146"/>
      <c r="N1199" s="1103"/>
      <c r="O1199"/>
      <c r="P1199" s="159"/>
      <c r="Q1199" s="147"/>
      <c r="T1199" s="149"/>
    </row>
    <row r="1200" spans="1:24" ht="90" customHeight="1">
      <c r="A1200" s="1428" t="s">
        <v>320</v>
      </c>
      <c r="B1200" s="1429"/>
      <c r="C1200" s="1430"/>
      <c r="D1200" s="1337" t="s">
        <v>2888</v>
      </c>
      <c r="E1200" s="1338"/>
      <c r="F1200" s="1338"/>
      <c r="G1200" s="1338"/>
      <c r="H1200" s="1338"/>
      <c r="I1200" s="1338"/>
      <c r="J1200" s="1338"/>
      <c r="K1200" s="1338"/>
      <c r="L1200" s="1339"/>
      <c r="M1200" s="1146"/>
      <c r="N1200" s="1103"/>
      <c r="O1200"/>
      <c r="P1200" s="159"/>
      <c r="Q1200" s="147"/>
      <c r="T1200" s="149"/>
      <c r="U1200" s="38"/>
      <c r="V1200" s="38"/>
      <c r="W1200" s="38"/>
      <c r="X1200" s="38"/>
    </row>
    <row r="1201" spans="1:24" s="38" customFormat="1" ht="30" customHeight="1">
      <c r="A1201" s="1428" t="s">
        <v>322</v>
      </c>
      <c r="B1201" s="1429"/>
      <c r="C1201" s="1430"/>
      <c r="D1201" s="1337" t="s">
        <v>1021</v>
      </c>
      <c r="E1201" s="1338"/>
      <c r="F1201" s="1338"/>
      <c r="G1201" s="1338"/>
      <c r="H1201" s="1338"/>
      <c r="I1201" s="1338"/>
      <c r="J1201" s="1338"/>
      <c r="K1201" s="1338"/>
      <c r="L1201" s="1339"/>
      <c r="M1201" s="1146"/>
      <c r="N1201" s="1103"/>
      <c r="P1201" s="159"/>
      <c r="Q1201" s="147"/>
      <c r="T1201" s="149"/>
      <c r="U1201"/>
      <c r="V1201"/>
      <c r="W1201"/>
      <c r="X1201"/>
    </row>
    <row r="1202" spans="1:24" ht="30" customHeight="1">
      <c r="A1202" s="1428" t="s">
        <v>324</v>
      </c>
      <c r="B1202" s="1429"/>
      <c r="C1202" s="1430"/>
      <c r="D1202" s="1337" t="s">
        <v>927</v>
      </c>
      <c r="E1202" s="1338"/>
      <c r="F1202" s="1338"/>
      <c r="G1202" s="1338"/>
      <c r="H1202" s="1338"/>
      <c r="I1202" s="1338"/>
      <c r="J1202" s="1338"/>
      <c r="K1202" s="1338"/>
      <c r="L1202" s="1339"/>
      <c r="M1202" s="1146"/>
      <c r="N1202" s="405"/>
      <c r="O1202"/>
      <c r="P1202" s="159"/>
      <c r="Q1202" s="147"/>
      <c r="T1202" s="149"/>
    </row>
    <row r="1203" spans="1:24" ht="77.25" customHeight="1">
      <c r="A1203" s="1428" t="s">
        <v>499</v>
      </c>
      <c r="B1203" s="1429"/>
      <c r="C1203" s="1430"/>
      <c r="D1203" s="1422" t="s">
        <v>994</v>
      </c>
      <c r="E1203" s="1423"/>
      <c r="F1203" s="1423"/>
      <c r="G1203" s="1423"/>
      <c r="H1203" s="1423"/>
      <c r="I1203" s="1423"/>
      <c r="J1203" s="1423"/>
      <c r="K1203" s="1423"/>
      <c r="L1203" s="1424"/>
      <c r="M1203" s="1146"/>
      <c r="N1203" s="405"/>
      <c r="O1203"/>
      <c r="P1203" s="159"/>
      <c r="Q1203" s="147"/>
      <c r="T1203" s="149"/>
    </row>
    <row r="1204" spans="1:24" ht="60" customHeight="1" thickBot="1">
      <c r="A1204" s="1464" t="s">
        <v>327</v>
      </c>
      <c r="B1204" s="1465"/>
      <c r="C1204" s="1466"/>
      <c r="D1204" s="1467" t="s">
        <v>2546</v>
      </c>
      <c r="E1204" s="1468"/>
      <c r="F1204" s="1468"/>
      <c r="G1204" s="1468"/>
      <c r="H1204" s="1468"/>
      <c r="I1204" s="1468"/>
      <c r="J1204" s="1468"/>
      <c r="K1204" s="1468"/>
      <c r="L1204" s="1469"/>
      <c r="M1204" s="1146"/>
      <c r="N1204" s="1103"/>
      <c r="O1204"/>
      <c r="P1204" s="159"/>
      <c r="Q1204" s="147"/>
      <c r="T1204" s="149"/>
    </row>
    <row r="1205" spans="1:24" ht="30" customHeight="1" thickBot="1">
      <c r="A1205" s="1165"/>
      <c r="B1205" s="1166"/>
      <c r="C1205" s="1166"/>
      <c r="D1205" s="1166"/>
      <c r="E1205" s="1166"/>
      <c r="F1205" s="1166"/>
      <c r="G1205" s="1166"/>
      <c r="H1205" s="1166"/>
      <c r="I1205" s="1166"/>
      <c r="J1205" s="1166"/>
      <c r="K1205" s="1166"/>
      <c r="L1205" s="1167"/>
      <c r="M1205" s="1146"/>
      <c r="N1205" s="1103"/>
      <c r="O1205"/>
      <c r="P1205" s="159"/>
      <c r="Q1205" s="147"/>
      <c r="T1205" s="149"/>
    </row>
    <row r="1206" spans="1:24" ht="30" customHeight="1">
      <c r="A1206" s="1107" t="s">
        <v>280</v>
      </c>
      <c r="B1206" s="1108">
        <v>2123</v>
      </c>
      <c r="C1206" s="1470" t="s">
        <v>1022</v>
      </c>
      <c r="D1206" s="1470"/>
      <c r="E1206" s="1124" t="s">
        <v>282</v>
      </c>
      <c r="F1206" s="1125" t="s">
        <v>8</v>
      </c>
      <c r="G1206" s="1126" t="s">
        <v>290</v>
      </c>
      <c r="H1206" s="1127">
        <v>11725</v>
      </c>
      <c r="I1206" s="1124" t="s">
        <v>283</v>
      </c>
      <c r="J1206" s="1471" t="s">
        <v>2529</v>
      </c>
      <c r="K1206" s="1472"/>
      <c r="L1206" s="1473"/>
      <c r="M1206" s="1146"/>
      <c r="N1206" s="1103"/>
      <c r="O1206"/>
      <c r="P1206" s="159"/>
      <c r="Q1206" s="147"/>
      <c r="T1206" s="149"/>
    </row>
    <row r="1207" spans="1:24" ht="30" customHeight="1">
      <c r="A1207" s="165" t="s">
        <v>304</v>
      </c>
      <c r="B1207" s="1324" t="s">
        <v>330</v>
      </c>
      <c r="C1207" s="1325"/>
      <c r="D1207" s="1326"/>
      <c r="E1207" s="219" t="s">
        <v>295</v>
      </c>
      <c r="F1207" s="219" t="s">
        <v>331</v>
      </c>
      <c r="G1207" s="1206" t="s">
        <v>332</v>
      </c>
      <c r="H1207" s="1207"/>
      <c r="I1207" s="449" t="s">
        <v>1007</v>
      </c>
      <c r="J1207" s="167" t="s">
        <v>305</v>
      </c>
      <c r="K1207" s="1206" t="s">
        <v>297</v>
      </c>
      <c r="L1207" s="1207"/>
      <c r="M1207" s="1146"/>
      <c r="N1207" s="1103"/>
      <c r="O1207"/>
      <c r="P1207" s="159"/>
      <c r="Q1207" s="147"/>
      <c r="T1207" s="149"/>
    </row>
    <row r="1208" spans="1:24" ht="30" customHeight="1">
      <c r="A1208" s="10" t="s">
        <v>459</v>
      </c>
      <c r="B1208" s="1162" t="s">
        <v>2550</v>
      </c>
      <c r="C1208" s="1163"/>
      <c r="D1208" s="1164"/>
      <c r="E1208" s="115">
        <f>154-2.36</f>
        <v>151.63999999999999</v>
      </c>
      <c r="F1208" s="10" t="s">
        <v>8</v>
      </c>
      <c r="G1208" s="450"/>
      <c r="H1208" s="297"/>
      <c r="I1208" s="451"/>
      <c r="J1208" s="10">
        <v>1.05</v>
      </c>
      <c r="K1208" s="299">
        <f>+E1208*J1208</f>
        <v>159.22199999999998</v>
      </c>
      <c r="L1208" s="10" t="s">
        <v>8</v>
      </c>
      <c r="M1208" s="1146"/>
      <c r="N1208" s="1103"/>
      <c r="O1208"/>
      <c r="P1208" s="159"/>
      <c r="Q1208" s="147"/>
      <c r="T1208" s="149"/>
    </row>
    <row r="1209" spans="1:24" ht="30" customHeight="1">
      <c r="A1209" s="10" t="s">
        <v>377</v>
      </c>
      <c r="B1209" s="1162" t="s">
        <v>384</v>
      </c>
      <c r="C1209" s="1163"/>
      <c r="D1209" s="1164"/>
      <c r="E1209" s="142">
        <v>4.17</v>
      </c>
      <c r="F1209" s="10" t="s">
        <v>8</v>
      </c>
      <c r="G1209" s="452"/>
      <c r="H1209" s="439"/>
      <c r="I1209" s="453"/>
      <c r="J1209" s="10">
        <v>1.05</v>
      </c>
      <c r="K1209" s="299">
        <f>+E1209*J1209</f>
        <v>4.3784999999999998</v>
      </c>
      <c r="L1209" s="10" t="s">
        <v>8</v>
      </c>
      <c r="M1209" s="1146"/>
      <c r="N1209" s="1103"/>
      <c r="O1209"/>
      <c r="P1209" s="159"/>
      <c r="Q1209" s="147"/>
      <c r="T1209" s="149"/>
    </row>
    <row r="1210" spans="1:24" ht="30" customHeight="1">
      <c r="A1210" s="10" t="s">
        <v>377</v>
      </c>
      <c r="B1210" s="1162" t="s">
        <v>1008</v>
      </c>
      <c r="C1210" s="1163"/>
      <c r="D1210" s="1164"/>
      <c r="E1210" s="14">
        <f>0.15*E1209</f>
        <v>0.62549999999999994</v>
      </c>
      <c r="F1210" s="401" t="s">
        <v>8</v>
      </c>
      <c r="G1210" s="452"/>
      <c r="H1210" s="439"/>
      <c r="I1210" s="453">
        <f>+E1210</f>
        <v>0.62549999999999994</v>
      </c>
      <c r="J1210" s="10">
        <v>1.05</v>
      </c>
      <c r="K1210" s="299">
        <f>+I1210*J1210</f>
        <v>0.656775</v>
      </c>
      <c r="L1210" s="10" t="s">
        <v>8</v>
      </c>
      <c r="M1210" s="1146"/>
      <c r="N1210" s="1103"/>
      <c r="O1210"/>
      <c r="P1210" s="159"/>
      <c r="Q1210" s="147"/>
      <c r="T1210" s="149"/>
    </row>
    <row r="1211" spans="1:24" ht="30" customHeight="1">
      <c r="A1211" s="10" t="s">
        <v>377</v>
      </c>
      <c r="B1211" s="1162" t="s">
        <v>1009</v>
      </c>
      <c r="C1211" s="1163"/>
      <c r="D1211" s="1164"/>
      <c r="E1211" s="14">
        <f xml:space="preserve"> 0.52+((1.03+1.53)/2)</f>
        <v>1.8</v>
      </c>
      <c r="F1211" s="401" t="s">
        <v>8</v>
      </c>
      <c r="G1211" s="452"/>
      <c r="H1211" s="439"/>
      <c r="I1211" s="453">
        <f>+E1211</f>
        <v>1.8</v>
      </c>
      <c r="J1211" s="10">
        <v>1.05</v>
      </c>
      <c r="K1211" s="299">
        <f>+I1211*J1211</f>
        <v>1.8900000000000001</v>
      </c>
      <c r="L1211" s="10" t="s">
        <v>8</v>
      </c>
      <c r="M1211" s="1146"/>
      <c r="N1211" s="1103"/>
      <c r="O1211"/>
      <c r="P1211" s="159"/>
      <c r="Q1211" s="147"/>
      <c r="T1211" s="149"/>
    </row>
    <row r="1212" spans="1:24" ht="30" customHeight="1">
      <c r="A1212" s="10" t="s">
        <v>461</v>
      </c>
      <c r="B1212" s="1162" t="s">
        <v>1010</v>
      </c>
      <c r="C1212" s="1163"/>
      <c r="D1212" s="1164"/>
      <c r="E1212" s="115">
        <v>166000</v>
      </c>
      <c r="F1212" s="401" t="s">
        <v>10</v>
      </c>
      <c r="G1212" s="452"/>
      <c r="H1212" s="439" t="s">
        <v>1011</v>
      </c>
      <c r="I1212" s="453">
        <f>+E1212/H1206</f>
        <v>14.157782515991471</v>
      </c>
      <c r="J1212" s="10">
        <v>1.07</v>
      </c>
      <c r="K1212" s="115">
        <f>+I1212*J1212</f>
        <v>15.148827292110875</v>
      </c>
      <c r="L1212" s="10" t="s">
        <v>8</v>
      </c>
      <c r="M1212" s="1146"/>
      <c r="N1212" s="1103"/>
      <c r="O1212"/>
      <c r="P1212" s="159"/>
      <c r="Q1212" s="147"/>
      <c r="T1212" s="149"/>
    </row>
    <row r="1213" spans="1:24" ht="30" customHeight="1">
      <c r="A1213" s="10" t="s">
        <v>395</v>
      </c>
      <c r="B1213" s="1297" t="s">
        <v>1012</v>
      </c>
      <c r="C1213" s="1275"/>
      <c r="D1213" s="1275"/>
      <c r="E1213" s="14">
        <f>+(19.15+29.75)/2</f>
        <v>24.45</v>
      </c>
      <c r="F1213" s="401" t="s">
        <v>1023</v>
      </c>
      <c r="G1213" s="452">
        <f>2*81</f>
        <v>162</v>
      </c>
      <c r="H1213" s="439" t="s">
        <v>8</v>
      </c>
      <c r="I1213" s="453">
        <f>+E1213*G1213/H1206</f>
        <v>0.33781663113006399</v>
      </c>
      <c r="J1213" s="10">
        <v>1.06</v>
      </c>
      <c r="K1213" s="115">
        <f t="shared" ref="K1213:K1218" si="34">+I1213*J1213</f>
        <v>0.35808562899786783</v>
      </c>
      <c r="L1213" s="10" t="s">
        <v>8</v>
      </c>
      <c r="M1213" s="1146"/>
      <c r="N1213" s="1103"/>
      <c r="O1213"/>
      <c r="P1213" s="159"/>
      <c r="Q1213" s="147"/>
      <c r="T1213" s="149"/>
      <c r="U1213" s="38"/>
      <c r="V1213" s="38"/>
      <c r="W1213" s="38"/>
      <c r="X1213" s="38"/>
    </row>
    <row r="1214" spans="1:24" s="38" customFormat="1" ht="30" customHeight="1">
      <c r="A1214" s="10" t="s">
        <v>395</v>
      </c>
      <c r="B1214" s="1461" t="s">
        <v>1015</v>
      </c>
      <c r="C1214" s="1462"/>
      <c r="D1214" s="1463"/>
      <c r="E1214" s="454">
        <f>+(1610+2280)/2</f>
        <v>1945</v>
      </c>
      <c r="F1214" s="401" t="s">
        <v>10</v>
      </c>
      <c r="G1214" s="452">
        <v>2</v>
      </c>
      <c r="H1214" s="439" t="s">
        <v>10</v>
      </c>
      <c r="I1214" s="453">
        <f>+E1214*G1214/H1206</f>
        <v>0.33176972281449896</v>
      </c>
      <c r="J1214" s="10">
        <v>1.06</v>
      </c>
      <c r="K1214" s="115">
        <f t="shared" si="34"/>
        <v>0.35167590618336891</v>
      </c>
      <c r="L1214" s="10" t="s">
        <v>8</v>
      </c>
      <c r="M1214" s="1146"/>
      <c r="N1214" s="1103"/>
      <c r="P1214" s="159"/>
      <c r="Q1214" s="147"/>
      <c r="T1214" s="149"/>
      <c r="U1214"/>
      <c r="V1214"/>
      <c r="W1214"/>
      <c r="X1214"/>
    </row>
    <row r="1215" spans="1:24" ht="30" customHeight="1">
      <c r="A1215" s="10" t="s">
        <v>398</v>
      </c>
      <c r="B1215" s="1162" t="s">
        <v>1024</v>
      </c>
      <c r="C1215" s="1163"/>
      <c r="D1215" s="1164"/>
      <c r="E1215" s="115">
        <f>+(32.75+78)/2</f>
        <v>55.375</v>
      </c>
      <c r="F1215" s="401" t="s">
        <v>6</v>
      </c>
      <c r="G1215" s="452">
        <f>2*10</f>
        <v>20</v>
      </c>
      <c r="H1215" s="439" t="s">
        <v>1025</v>
      </c>
      <c r="I1215" s="453">
        <f>+E1215*G1215/H1206</f>
        <v>9.445628997867804E-2</v>
      </c>
      <c r="J1215" s="10">
        <v>1.04</v>
      </c>
      <c r="K1215" s="115">
        <f t="shared" si="34"/>
        <v>9.8234541577825171E-2</v>
      </c>
      <c r="L1215" s="10" t="s">
        <v>8</v>
      </c>
      <c r="M1215" s="1146"/>
      <c r="N1215" s="1103"/>
      <c r="O1215"/>
      <c r="P1215" s="159"/>
      <c r="Q1215" s="147"/>
      <c r="T1215" s="149"/>
    </row>
    <row r="1216" spans="1:24" ht="30" customHeight="1">
      <c r="A1216" s="10" t="s">
        <v>398</v>
      </c>
      <c r="B1216" s="1162" t="s">
        <v>1026</v>
      </c>
      <c r="C1216" s="1163"/>
      <c r="D1216" s="1164"/>
      <c r="E1216" s="115">
        <f>+(6150+11800)/2</f>
        <v>8975</v>
      </c>
      <c r="F1216" s="401" t="s">
        <v>10</v>
      </c>
      <c r="G1216" s="452">
        <v>2</v>
      </c>
      <c r="H1216" s="439" t="s">
        <v>1011</v>
      </c>
      <c r="I1216" s="453">
        <f>+E1216*G1216/H1206</f>
        <v>1.5309168443496801</v>
      </c>
      <c r="J1216" s="10">
        <v>1.04</v>
      </c>
      <c r="K1216" s="115">
        <f t="shared" si="34"/>
        <v>1.5921535181236675</v>
      </c>
      <c r="L1216" s="10" t="s">
        <v>8</v>
      </c>
      <c r="M1216" s="1146"/>
      <c r="N1216" s="1103"/>
      <c r="O1216"/>
      <c r="P1216" s="159"/>
      <c r="Q1216" s="147"/>
      <c r="T1216" s="149"/>
    </row>
    <row r="1217" spans="1:24" ht="30" customHeight="1">
      <c r="A1217" s="10" t="s">
        <v>398</v>
      </c>
      <c r="B1217" s="1162" t="s">
        <v>1027</v>
      </c>
      <c r="C1217" s="1163"/>
      <c r="D1217" s="1164"/>
      <c r="E1217" s="142">
        <f>+(630+965)/2</f>
        <v>797.5</v>
      </c>
      <c r="F1217" s="401" t="s">
        <v>10</v>
      </c>
      <c r="G1217" s="452">
        <v>2</v>
      </c>
      <c r="H1217" s="439" t="s">
        <v>1011</v>
      </c>
      <c r="I1217" s="453">
        <f>+E1217*G1217/H1206</f>
        <v>0.13603411513859276</v>
      </c>
      <c r="J1217" s="10">
        <v>1.04</v>
      </c>
      <c r="K1217" s="115">
        <f t="shared" si="34"/>
        <v>0.14147547974413646</v>
      </c>
      <c r="L1217" s="10" t="s">
        <v>8</v>
      </c>
      <c r="M1217" s="1146"/>
      <c r="N1217" s="1103"/>
      <c r="O1217"/>
      <c r="P1217" s="159"/>
      <c r="Q1217" s="147"/>
      <c r="T1217" s="149"/>
    </row>
    <row r="1218" spans="1:24" ht="30" customHeight="1">
      <c r="A1218" s="10" t="s">
        <v>398</v>
      </c>
      <c r="B1218" s="1162" t="s">
        <v>1028</v>
      </c>
      <c r="C1218" s="1163"/>
      <c r="D1218" s="1164"/>
      <c r="E1218" s="115">
        <f>+(1110+3300)/2</f>
        <v>2205</v>
      </c>
      <c r="F1218" s="401" t="s">
        <v>10</v>
      </c>
      <c r="G1218" s="452">
        <v>2</v>
      </c>
      <c r="H1218" s="439" t="s">
        <v>1011</v>
      </c>
      <c r="I1218" s="453">
        <f>+E1218*G1218/H1206</f>
        <v>0.37611940298507462</v>
      </c>
      <c r="J1218" s="10">
        <v>1.04</v>
      </c>
      <c r="K1218" s="115">
        <f t="shared" si="34"/>
        <v>0.39116417910447765</v>
      </c>
      <c r="L1218" s="10" t="s">
        <v>8</v>
      </c>
      <c r="M1218" s="1146"/>
      <c r="N1218" s="1103"/>
      <c r="O1218"/>
      <c r="P1218" s="159"/>
      <c r="Q1218" s="147"/>
      <c r="T1218" s="149"/>
    </row>
    <row r="1219" spans="1:24" ht="30" customHeight="1">
      <c r="A1219" s="10"/>
      <c r="B1219" s="1375"/>
      <c r="C1219" s="1375"/>
      <c r="D1219" s="1375"/>
      <c r="E1219" s="115"/>
      <c r="F1219" s="402"/>
      <c r="G1219" s="403"/>
      <c r="H1219" s="403"/>
      <c r="I1219" s="10"/>
      <c r="J1219" s="10" t="s">
        <v>379</v>
      </c>
      <c r="K1219" s="115">
        <f>SUM(K1208:K1218)</f>
        <v>184.22889154584217</v>
      </c>
      <c r="L1219" s="10" t="s">
        <v>8</v>
      </c>
      <c r="M1219" s="1146"/>
      <c r="N1219" s="1103"/>
      <c r="O1219"/>
      <c r="P1219" s="159"/>
      <c r="Q1219" s="147"/>
      <c r="T1219" s="149"/>
    </row>
    <row r="1220" spans="1:24" ht="30" customHeight="1">
      <c r="A1220" s="20"/>
      <c r="B1220" s="157"/>
      <c r="C1220" s="157"/>
      <c r="D1220" s="157"/>
      <c r="E1220" s="157"/>
      <c r="F1220" s="1174" t="s">
        <v>308</v>
      </c>
      <c r="G1220" s="1208" t="s">
        <v>309</v>
      </c>
      <c r="H1220" s="1208"/>
      <c r="I1220" s="1208"/>
      <c r="J1220" s="1208"/>
      <c r="K1220" s="123">
        <v>1.06</v>
      </c>
      <c r="L1220" s="10"/>
      <c r="M1220" s="1146"/>
      <c r="O1220"/>
      <c r="P1220" s="159"/>
      <c r="Q1220" s="147"/>
      <c r="T1220" s="149"/>
    </row>
    <row r="1221" spans="1:24" ht="30" customHeight="1">
      <c r="A1221" s="20"/>
      <c r="B1221" s="157"/>
      <c r="C1221" s="157"/>
      <c r="D1221" s="157"/>
      <c r="E1221" s="157"/>
      <c r="F1221" s="1175"/>
      <c r="G1221" s="1209" t="s">
        <v>310</v>
      </c>
      <c r="H1221" s="1209"/>
      <c r="I1221" s="1209"/>
      <c r="J1221" s="1209"/>
      <c r="K1221" s="123">
        <v>1.07</v>
      </c>
      <c r="L1221" s="10"/>
      <c r="M1221" s="1146"/>
      <c r="N1221" s="1103"/>
      <c r="O1221"/>
      <c r="P1221" s="159"/>
      <c r="Q1221" s="147"/>
      <c r="T1221" s="149"/>
    </row>
    <row r="1222" spans="1:24" ht="30" customHeight="1">
      <c r="A1222" s="10"/>
      <c r="B1222" s="10"/>
      <c r="C1222" s="13"/>
      <c r="D1222" s="13"/>
      <c r="E1222" s="13"/>
      <c r="F1222" s="13"/>
      <c r="G1222" s="13"/>
      <c r="H1222" s="13"/>
      <c r="I1222" s="13"/>
      <c r="J1222" s="10" t="s">
        <v>289</v>
      </c>
      <c r="K1222" s="14">
        <f>+K1219*K1220/K1221</f>
        <v>182.50712620429226</v>
      </c>
      <c r="L1222" s="10" t="s">
        <v>8</v>
      </c>
      <c r="M1222" s="1146"/>
      <c r="N1222" s="1103"/>
      <c r="O1222"/>
      <c r="P1222" s="159"/>
      <c r="Q1222" s="147"/>
      <c r="T1222" s="149"/>
    </row>
    <row r="1223" spans="1:24" ht="30" customHeight="1">
      <c r="A1223" s="10"/>
      <c r="B1223" s="10"/>
      <c r="C1223" s="13"/>
      <c r="D1223" s="13"/>
      <c r="E1223" s="13"/>
      <c r="F1223" s="1474" t="s">
        <v>385</v>
      </c>
      <c r="G1223" s="1475"/>
      <c r="H1223" s="1475"/>
      <c r="I1223" s="1476"/>
      <c r="J1223" s="139">
        <f>VLOOKUP(B1206,'Mil Cost Premiums for RUCs'!$A$4:$R$266,18,FALSE)</f>
        <v>1.1932356231980656</v>
      </c>
      <c r="K1223" s="14">
        <f>+K1222*J1223</f>
        <v>217.77400447446669</v>
      </c>
      <c r="L1223" s="10" t="s">
        <v>8</v>
      </c>
      <c r="M1223" s="1146"/>
      <c r="N1223" s="405"/>
      <c r="O1223"/>
      <c r="P1223" s="159"/>
      <c r="Q1223" s="147"/>
      <c r="T1223" s="149"/>
    </row>
    <row r="1224" spans="1:24" ht="60" customHeight="1">
      <c r="A1224" s="1337" t="s">
        <v>313</v>
      </c>
      <c r="B1224" s="1338"/>
      <c r="C1224" s="1338"/>
      <c r="D1224" s="1338"/>
      <c r="E1224" s="1338"/>
      <c r="F1224" s="1338"/>
      <c r="G1224" s="1338"/>
      <c r="H1224" s="1338"/>
      <c r="I1224" s="1338"/>
      <c r="J1224" s="1338"/>
      <c r="K1224" s="1338"/>
      <c r="L1224" s="1339"/>
      <c r="M1224" s="1146"/>
      <c r="N1224" s="405"/>
      <c r="O1224"/>
      <c r="P1224" s="159"/>
      <c r="Q1224" s="147"/>
      <c r="T1224" s="149"/>
    </row>
    <row r="1225" spans="1:24" ht="30" customHeight="1">
      <c r="A1225" s="1428" t="s">
        <v>314</v>
      </c>
      <c r="B1225" s="1429"/>
      <c r="C1225" s="1430"/>
      <c r="D1225" s="1270" t="s">
        <v>1029</v>
      </c>
      <c r="E1225" s="1371"/>
      <c r="F1225" s="1371"/>
      <c r="G1225" s="1371"/>
      <c r="H1225" s="1371"/>
      <c r="I1225" s="1371"/>
      <c r="J1225" s="1371"/>
      <c r="K1225" s="1371"/>
      <c r="L1225" s="1372"/>
      <c r="M1225" s="1146"/>
      <c r="N1225" s="1103"/>
      <c r="O1225"/>
      <c r="P1225" s="159"/>
      <c r="Q1225" s="147"/>
      <c r="T1225" s="149"/>
    </row>
    <row r="1226" spans="1:24" ht="30" customHeight="1">
      <c r="A1226" s="1428" t="s">
        <v>316</v>
      </c>
      <c r="B1226" s="1429"/>
      <c r="C1226" s="1430"/>
      <c r="D1226" s="1270" t="s">
        <v>1030</v>
      </c>
      <c r="E1226" s="1371"/>
      <c r="F1226" s="1371"/>
      <c r="G1226" s="1371"/>
      <c r="H1226" s="1371"/>
      <c r="I1226" s="1371"/>
      <c r="J1226" s="1371"/>
      <c r="K1226" s="1371"/>
      <c r="L1226" s="1372"/>
      <c r="M1226" s="1146"/>
      <c r="N1226" s="1103"/>
      <c r="O1226"/>
      <c r="P1226" s="159"/>
      <c r="Q1226" s="147"/>
      <c r="T1226" s="149"/>
    </row>
    <row r="1227" spans="1:24" ht="30" customHeight="1">
      <c r="A1227" s="1428" t="s">
        <v>317</v>
      </c>
      <c r="B1227" s="1429"/>
      <c r="C1227" s="1430"/>
      <c r="D1227" s="1270" t="s">
        <v>2682</v>
      </c>
      <c r="E1227" s="1371"/>
      <c r="F1227" s="1371"/>
      <c r="G1227" s="1371"/>
      <c r="H1227" s="1371"/>
      <c r="I1227" s="1371"/>
      <c r="J1227" s="1371"/>
      <c r="K1227" s="1371"/>
      <c r="L1227" s="1372"/>
      <c r="M1227" s="1146"/>
      <c r="N1227" s="1103"/>
      <c r="O1227"/>
      <c r="P1227" s="159"/>
      <c r="Q1227" s="147"/>
      <c r="T1227" s="149"/>
      <c r="U1227" s="38"/>
      <c r="V1227" s="38"/>
      <c r="W1227" s="38"/>
      <c r="X1227" s="38"/>
    </row>
    <row r="1228" spans="1:24" s="38" customFormat="1" ht="30" customHeight="1">
      <c r="A1228" s="1428" t="s">
        <v>318</v>
      </c>
      <c r="B1228" s="1429"/>
      <c r="C1228" s="1430"/>
      <c r="D1228" s="1270" t="s">
        <v>1031</v>
      </c>
      <c r="E1228" s="1371"/>
      <c r="F1228" s="1371"/>
      <c r="G1228" s="1371"/>
      <c r="H1228" s="1371"/>
      <c r="I1228" s="1371"/>
      <c r="J1228" s="1371"/>
      <c r="K1228" s="1371"/>
      <c r="L1228" s="1372"/>
      <c r="M1228" s="1146"/>
      <c r="N1228" s="1103"/>
      <c r="P1228" s="159"/>
      <c r="Q1228" s="147"/>
      <c r="T1228" s="149"/>
      <c r="U1228"/>
      <c r="V1228"/>
      <c r="W1228"/>
      <c r="X1228"/>
    </row>
    <row r="1229" spans="1:24" ht="75" customHeight="1">
      <c r="A1229" s="1428" t="s">
        <v>320</v>
      </c>
      <c r="B1229" s="1429"/>
      <c r="C1229" s="1430"/>
      <c r="D1229" s="1270" t="s">
        <v>1032</v>
      </c>
      <c r="E1229" s="1371"/>
      <c r="F1229" s="1371"/>
      <c r="G1229" s="1371"/>
      <c r="H1229" s="1371"/>
      <c r="I1229" s="1371"/>
      <c r="J1229" s="1371"/>
      <c r="K1229" s="1371"/>
      <c r="L1229" s="1372"/>
      <c r="M1229" s="1146"/>
      <c r="N1229" s="1103"/>
      <c r="O1229"/>
      <c r="P1229" s="159"/>
      <c r="Q1229" s="147"/>
      <c r="T1229" s="149"/>
    </row>
    <row r="1230" spans="1:24" ht="30" customHeight="1">
      <c r="A1230" s="1428" t="s">
        <v>322</v>
      </c>
      <c r="B1230" s="1429"/>
      <c r="C1230" s="1430"/>
      <c r="D1230" s="1270" t="s">
        <v>1021</v>
      </c>
      <c r="E1230" s="1371"/>
      <c r="F1230" s="1371"/>
      <c r="G1230" s="1371"/>
      <c r="H1230" s="1371"/>
      <c r="I1230" s="1371"/>
      <c r="J1230" s="1371"/>
      <c r="K1230" s="1371"/>
      <c r="L1230" s="1372"/>
      <c r="M1230" s="1146"/>
      <c r="N1230" s="1103"/>
      <c r="O1230"/>
      <c r="P1230" s="159"/>
      <c r="Q1230" s="147"/>
      <c r="T1230" s="149"/>
    </row>
    <row r="1231" spans="1:24" ht="30" customHeight="1">
      <c r="A1231" s="1428" t="s">
        <v>324</v>
      </c>
      <c r="B1231" s="1429"/>
      <c r="C1231" s="1430"/>
      <c r="D1231" s="1270" t="s">
        <v>927</v>
      </c>
      <c r="E1231" s="1371"/>
      <c r="F1231" s="1371"/>
      <c r="G1231" s="1371"/>
      <c r="H1231" s="1371"/>
      <c r="I1231" s="1371"/>
      <c r="J1231" s="1371"/>
      <c r="K1231" s="1371"/>
      <c r="L1231" s="1372"/>
      <c r="M1231" s="1146"/>
      <c r="N1231" s="1103"/>
      <c r="O1231"/>
      <c r="P1231" s="159"/>
      <c r="Q1231" s="147"/>
      <c r="T1231" s="149"/>
    </row>
    <row r="1232" spans="1:24" ht="75" customHeight="1">
      <c r="A1232" s="1428" t="s">
        <v>499</v>
      </c>
      <c r="B1232" s="1429"/>
      <c r="C1232" s="1430"/>
      <c r="D1232" s="1422" t="s">
        <v>994</v>
      </c>
      <c r="E1232" s="1423"/>
      <c r="F1232" s="1423"/>
      <c r="G1232" s="1423"/>
      <c r="H1232" s="1423"/>
      <c r="I1232" s="1423"/>
      <c r="J1232" s="1423"/>
      <c r="K1232" s="1423"/>
      <c r="L1232" s="1424"/>
      <c r="M1232" s="1146"/>
      <c r="N1232" s="193"/>
      <c r="O1232"/>
      <c r="P1232" s="159"/>
      <c r="Q1232" s="147"/>
      <c r="T1232" s="149"/>
    </row>
    <row r="1233" spans="1:24" ht="60" customHeight="1" thickBot="1">
      <c r="A1233" s="1331" t="s">
        <v>327</v>
      </c>
      <c r="B1233" s="1256"/>
      <c r="C1233" s="1257"/>
      <c r="D1233" s="1467" t="s">
        <v>2546</v>
      </c>
      <c r="E1233" s="1468"/>
      <c r="F1233" s="1468"/>
      <c r="G1233" s="1468"/>
      <c r="H1233" s="1468"/>
      <c r="I1233" s="1468"/>
      <c r="J1233" s="1468"/>
      <c r="K1233" s="1468"/>
      <c r="L1233" s="1469"/>
      <c r="M1233" s="1146"/>
      <c r="N1233" s="1103"/>
      <c r="O1233"/>
      <c r="P1233" s="159"/>
      <c r="Q1233" s="147"/>
      <c r="T1233" s="149"/>
    </row>
    <row r="1234" spans="1:24" ht="30" customHeight="1" thickBot="1">
      <c r="A1234" s="1165"/>
      <c r="B1234" s="1166"/>
      <c r="C1234" s="1166"/>
      <c r="D1234" s="1166"/>
      <c r="E1234" s="1166"/>
      <c r="F1234" s="1166"/>
      <c r="G1234" s="1166"/>
      <c r="H1234" s="1166"/>
      <c r="I1234" s="1166"/>
      <c r="J1234" s="1166"/>
      <c r="K1234" s="1166"/>
      <c r="L1234" s="1167"/>
      <c r="M1234" s="1146"/>
      <c r="N1234" s="1103"/>
      <c r="O1234"/>
      <c r="P1234" s="159"/>
      <c r="Q1234" s="147"/>
      <c r="T1234" s="149"/>
    </row>
    <row r="1235" spans="1:24" ht="30" customHeight="1">
      <c r="A1235" s="81" t="s">
        <v>280</v>
      </c>
      <c r="B1235" s="82">
        <v>2124</v>
      </c>
      <c r="C1235" s="1197" t="s">
        <v>1033</v>
      </c>
      <c r="D1235" s="1198"/>
      <c r="E1235" s="74" t="s">
        <v>282</v>
      </c>
      <c r="F1235" s="75" t="s">
        <v>10</v>
      </c>
      <c r="G1235" s="181" t="s">
        <v>1034</v>
      </c>
      <c r="H1235" s="215">
        <v>14400</v>
      </c>
      <c r="I1235" s="74" t="s">
        <v>283</v>
      </c>
      <c r="J1235" s="1409" t="s">
        <v>2529</v>
      </c>
      <c r="K1235" s="1409"/>
      <c r="L1235" s="1410"/>
      <c r="M1235" s="1146"/>
      <c r="N1235" s="1103"/>
      <c r="O1235"/>
      <c r="P1235" s="159"/>
      <c r="Q1235" s="147"/>
      <c r="T1235" s="149"/>
    </row>
    <row r="1236" spans="1:24" ht="30" customHeight="1">
      <c r="A1236" s="79" t="s">
        <v>304</v>
      </c>
      <c r="B1236" s="1201" t="s">
        <v>330</v>
      </c>
      <c r="C1236" s="1202"/>
      <c r="D1236" s="1203"/>
      <c r="E1236" s="150" t="s">
        <v>295</v>
      </c>
      <c r="F1236" s="150" t="s">
        <v>331</v>
      </c>
      <c r="G1236" s="1204" t="s">
        <v>332</v>
      </c>
      <c r="H1236" s="1205"/>
      <c r="I1236" s="77" t="s">
        <v>305</v>
      </c>
      <c r="J1236" s="77"/>
      <c r="K1236" s="1206" t="s">
        <v>297</v>
      </c>
      <c r="L1236" s="1207"/>
      <c r="M1236" s="1146"/>
      <c r="N1236" s="1103"/>
      <c r="O1236"/>
      <c r="P1236" s="159"/>
      <c r="Q1236" s="147"/>
      <c r="T1236" s="149"/>
    </row>
    <row r="1237" spans="1:24" ht="30" customHeight="1">
      <c r="A1237" s="20" t="s">
        <v>306</v>
      </c>
      <c r="B1237" s="1179" t="s">
        <v>1035</v>
      </c>
      <c r="C1237" s="1180"/>
      <c r="D1237" s="1181"/>
      <c r="E1237" s="153">
        <v>70250</v>
      </c>
      <c r="F1237" s="20" t="s">
        <v>10</v>
      </c>
      <c r="G1237" s="456"/>
      <c r="H1237" s="333"/>
      <c r="I1237" s="457">
        <v>1.04</v>
      </c>
      <c r="J1237" s="457"/>
      <c r="K1237" s="335">
        <f>+E1237*I1237</f>
        <v>73060</v>
      </c>
      <c r="L1237" s="22" t="s">
        <v>10</v>
      </c>
      <c r="M1237" s="1146"/>
      <c r="N1237" s="1103"/>
      <c r="O1237"/>
      <c r="P1237" s="159"/>
      <c r="Q1237" s="147"/>
      <c r="T1237" s="149"/>
    </row>
    <row r="1238" spans="1:24" ht="30" customHeight="1">
      <c r="A1238" s="20" t="s">
        <v>538</v>
      </c>
      <c r="B1238" s="1179" t="s">
        <v>1036</v>
      </c>
      <c r="C1238" s="1180"/>
      <c r="D1238" s="1181"/>
      <c r="E1238" s="335">
        <f>+(4.56+6.81)/2+8*(0.41+0.6)/2+(0.48+2.41)/2</f>
        <v>11.17</v>
      </c>
      <c r="F1238" s="22" t="s">
        <v>8</v>
      </c>
      <c r="G1238" s="332">
        <f>+H1235</f>
        <v>14400</v>
      </c>
      <c r="H1238" s="333" t="s">
        <v>334</v>
      </c>
      <c r="I1238" s="326">
        <v>1.05</v>
      </c>
      <c r="J1238" s="326"/>
      <c r="K1238" s="331">
        <f>+E1238*G1238*I1238</f>
        <v>168890.4</v>
      </c>
      <c r="L1238" s="22" t="s">
        <v>10</v>
      </c>
      <c r="M1238" s="1146"/>
      <c r="N1238" s="1103"/>
      <c r="O1238"/>
      <c r="P1238" s="159"/>
      <c r="Q1238" s="147"/>
      <c r="T1238" s="149"/>
    </row>
    <row r="1239" spans="1:24" ht="30" customHeight="1">
      <c r="A1239" s="20" t="s">
        <v>461</v>
      </c>
      <c r="B1239" s="1179" t="s">
        <v>1037</v>
      </c>
      <c r="C1239" s="1180"/>
      <c r="D1239" s="1181"/>
      <c r="E1239" s="153">
        <v>117</v>
      </c>
      <c r="F1239" s="20" t="s">
        <v>6</v>
      </c>
      <c r="G1239" s="458">
        <v>100</v>
      </c>
      <c r="H1239" s="333" t="s">
        <v>450</v>
      </c>
      <c r="I1239" s="20">
        <v>1.07</v>
      </c>
      <c r="J1239" s="326"/>
      <c r="K1239" s="335">
        <f>+E1239*G1239*I1239</f>
        <v>12519</v>
      </c>
      <c r="L1239" s="22" t="s">
        <v>10</v>
      </c>
      <c r="M1239" s="1146"/>
      <c r="N1239" s="1103"/>
      <c r="O1239"/>
      <c r="P1239" s="159"/>
      <c r="Q1239" s="147"/>
      <c r="T1239" s="149"/>
    </row>
    <row r="1240" spans="1:24" ht="30" customHeight="1">
      <c r="A1240" s="20" t="s">
        <v>461</v>
      </c>
      <c r="B1240" s="1179" t="s">
        <v>1038</v>
      </c>
      <c r="C1240" s="1180"/>
      <c r="D1240" s="1181"/>
      <c r="E1240" s="153">
        <v>2875</v>
      </c>
      <c r="F1240" s="20" t="s">
        <v>10</v>
      </c>
      <c r="G1240" s="456"/>
      <c r="H1240" s="333"/>
      <c r="I1240" s="20">
        <v>1.07</v>
      </c>
      <c r="J1240" s="326"/>
      <c r="K1240" s="335">
        <f>+E1240*I1240</f>
        <v>3076.25</v>
      </c>
      <c r="L1240" s="22" t="s">
        <v>10</v>
      </c>
      <c r="M1240" s="1146"/>
      <c r="N1240" s="998"/>
      <c r="O1240"/>
      <c r="P1240" s="159"/>
      <c r="Q1240" s="147"/>
      <c r="T1240" s="149"/>
    </row>
    <row r="1241" spans="1:24" ht="30" customHeight="1">
      <c r="A1241" s="20"/>
      <c r="B1241" s="157"/>
      <c r="C1241" s="157"/>
      <c r="D1241" s="157"/>
      <c r="E1241" s="23"/>
      <c r="F1241" s="20"/>
      <c r="G1241" s="395"/>
      <c r="H1241" s="329"/>
      <c r="I1241" s="20"/>
      <c r="J1241" s="20" t="s">
        <v>346</v>
      </c>
      <c r="K1241" s="153">
        <f>SUM(K1237:K1240)</f>
        <v>257545.65</v>
      </c>
      <c r="L1241" s="20" t="s">
        <v>10</v>
      </c>
      <c r="M1241" s="1146"/>
      <c r="N1241" s="1103"/>
      <c r="O1241"/>
      <c r="P1241" s="159"/>
      <c r="Q1241" s="147"/>
      <c r="T1241" s="149"/>
    </row>
    <row r="1242" spans="1:24" ht="30" customHeight="1">
      <c r="A1242" s="20"/>
      <c r="B1242" s="157"/>
      <c r="C1242" s="157"/>
      <c r="D1242" s="157"/>
      <c r="E1242" s="153"/>
      <c r="F1242" s="1174" t="s">
        <v>308</v>
      </c>
      <c r="G1242" s="1208" t="s">
        <v>309</v>
      </c>
      <c r="H1242" s="1208"/>
      <c r="I1242" s="1208"/>
      <c r="J1242" s="1208"/>
      <c r="K1242" s="123">
        <v>1.06</v>
      </c>
      <c r="L1242" s="10"/>
      <c r="M1242" s="1146"/>
      <c r="N1242" s="1103"/>
      <c r="O1242"/>
      <c r="P1242" s="159"/>
      <c r="Q1242" s="147"/>
      <c r="T1242" s="149"/>
    </row>
    <row r="1243" spans="1:24" ht="30" customHeight="1">
      <c r="A1243" s="20"/>
      <c r="B1243" s="157"/>
      <c r="C1243" s="157"/>
      <c r="D1243" s="157"/>
      <c r="E1243" s="153"/>
      <c r="F1243" s="1175"/>
      <c r="G1243" s="1209" t="s">
        <v>310</v>
      </c>
      <c r="H1243" s="1209"/>
      <c r="I1243" s="1209"/>
      <c r="J1243" s="1209"/>
      <c r="K1243" s="123">
        <v>1.07</v>
      </c>
      <c r="L1243" s="10"/>
      <c r="M1243" s="1146"/>
      <c r="N1243" s="1103"/>
      <c r="O1243"/>
      <c r="P1243" s="159"/>
      <c r="Q1243" s="147"/>
      <c r="T1243" s="149"/>
    </row>
    <row r="1244" spans="1:24" ht="30" customHeight="1">
      <c r="A1244" s="20"/>
      <c r="B1244" s="20"/>
      <c r="C1244" s="18"/>
      <c r="D1244" s="18"/>
      <c r="E1244" s="18"/>
      <c r="F1244" s="18"/>
      <c r="G1244" s="18"/>
      <c r="H1244" s="18"/>
      <c r="I1244" s="18"/>
      <c r="J1244" s="18" t="s">
        <v>289</v>
      </c>
      <c r="K1244" s="23">
        <f>+K1241*K1242/K1243</f>
        <v>255138.68130841124</v>
      </c>
      <c r="L1244" s="20" t="s">
        <v>10</v>
      </c>
      <c r="M1244" s="1146"/>
      <c r="N1244" s="1103"/>
      <c r="O1244"/>
      <c r="P1244" s="159"/>
      <c r="Q1244" s="147"/>
      <c r="T1244" s="149"/>
    </row>
    <row r="1245" spans="1:24" ht="30" customHeight="1" thickBot="1">
      <c r="A1245" s="20"/>
      <c r="B1245" s="1224"/>
      <c r="C1245" s="1224"/>
      <c r="D1245" s="1224"/>
      <c r="E1245" s="18"/>
      <c r="F1245" s="18"/>
      <c r="G1245" s="160" t="s">
        <v>312</v>
      </c>
      <c r="H1245" s="18"/>
      <c r="I1245" s="18"/>
      <c r="J1245" s="139">
        <f>VLOOKUP(B1235,'Mil Cost Premiums for RUCs'!$A$4:$R$266,18,FALSE)</f>
        <v>1.1233553701921195</v>
      </c>
      <c r="K1245" s="23">
        <f>+K1244*J1245</f>
        <v>286611.4077915395</v>
      </c>
      <c r="L1245" s="20" t="s">
        <v>10</v>
      </c>
      <c r="M1245" s="1146"/>
      <c r="N1245" s="1103"/>
      <c r="O1245"/>
      <c r="P1245" s="159"/>
      <c r="Q1245" s="147"/>
      <c r="T1245" s="230"/>
      <c r="U1245" s="25"/>
      <c r="V1245" s="25"/>
      <c r="W1245" s="25"/>
      <c r="X1245" s="25"/>
    </row>
    <row r="1246" spans="1:24" s="25" customFormat="1" ht="30" customHeight="1" thickBot="1">
      <c r="A1246" s="1165"/>
      <c r="B1246" s="1166"/>
      <c r="C1246" s="1166"/>
      <c r="D1246" s="1166"/>
      <c r="E1246" s="1166"/>
      <c r="F1246" s="1166"/>
      <c r="G1246" s="1166"/>
      <c r="H1246" s="1166"/>
      <c r="I1246" s="1166"/>
      <c r="J1246" s="1166"/>
      <c r="K1246" s="1166"/>
      <c r="L1246" s="1167"/>
      <c r="M1246" s="1146"/>
      <c r="N1246" s="1103"/>
      <c r="P1246" s="229"/>
      <c r="Q1246" s="1103"/>
      <c r="T1246" s="230"/>
    </row>
    <row r="1247" spans="1:24" s="25" customFormat="1" ht="30" customHeight="1">
      <c r="A1247" s="1123" t="s">
        <v>280</v>
      </c>
      <c r="B1247" s="1108">
        <v>2125</v>
      </c>
      <c r="C1247" s="1470" t="s">
        <v>1039</v>
      </c>
      <c r="D1247" s="1470"/>
      <c r="E1247" s="1124" t="s">
        <v>282</v>
      </c>
      <c r="F1247" s="1125" t="s">
        <v>8</v>
      </c>
      <c r="G1247" s="1126" t="s">
        <v>290</v>
      </c>
      <c r="H1247" s="1127">
        <v>30473</v>
      </c>
      <c r="I1247" s="1124" t="s">
        <v>283</v>
      </c>
      <c r="J1247" s="1417" t="s">
        <v>2529</v>
      </c>
      <c r="K1247" s="1418"/>
      <c r="L1247" s="1419"/>
      <c r="M1247" s="1146"/>
      <c r="N1247" s="1103"/>
      <c r="P1247" s="229"/>
      <c r="Q1247" s="1103"/>
      <c r="T1247" s="149"/>
      <c r="U1247" s="38"/>
      <c r="V1247" s="38"/>
      <c r="W1247" s="38"/>
      <c r="X1247" s="38"/>
    </row>
    <row r="1248" spans="1:24" s="38" customFormat="1" ht="30" customHeight="1">
      <c r="A1248" s="294" t="s">
        <v>304</v>
      </c>
      <c r="B1248" s="1324" t="s">
        <v>330</v>
      </c>
      <c r="C1248" s="1325"/>
      <c r="D1248" s="1326"/>
      <c r="E1248" s="219" t="s">
        <v>295</v>
      </c>
      <c r="F1248" s="219" t="s">
        <v>331</v>
      </c>
      <c r="G1248" s="1206" t="s">
        <v>332</v>
      </c>
      <c r="H1248" s="1207"/>
      <c r="I1248" s="1122" t="s">
        <v>1007</v>
      </c>
      <c r="J1248" s="167" t="s">
        <v>305</v>
      </c>
      <c r="K1248" s="1206" t="s">
        <v>297</v>
      </c>
      <c r="L1248" s="1207"/>
      <c r="M1248" s="1146"/>
      <c r="N1248" s="1103"/>
      <c r="P1248" s="159"/>
      <c r="Q1248" s="147"/>
      <c r="T1248" s="149"/>
    </row>
    <row r="1249" spans="1:24" s="38" customFormat="1" ht="30" customHeight="1">
      <c r="A1249" s="24" t="s">
        <v>459</v>
      </c>
      <c r="B1249" s="1162" t="s">
        <v>2624</v>
      </c>
      <c r="C1249" s="1163"/>
      <c r="D1249" s="1164"/>
      <c r="E1249" s="115">
        <f>154-2.36</f>
        <v>151.63999999999999</v>
      </c>
      <c r="F1249" s="10" t="s">
        <v>8</v>
      </c>
      <c r="G1249" s="450"/>
      <c r="H1249" s="297"/>
      <c r="I1249" s="451">
        <f>+E1249</f>
        <v>151.63999999999999</v>
      </c>
      <c r="J1249" s="10">
        <v>1.05</v>
      </c>
      <c r="K1249" s="299">
        <f t="shared" ref="K1249:K1259" si="35">+I1249*J1249</f>
        <v>159.22199999999998</v>
      </c>
      <c r="L1249" s="401" t="s">
        <v>8</v>
      </c>
      <c r="M1249" s="1146"/>
      <c r="N1249" s="1103"/>
      <c r="P1249" s="159"/>
      <c r="Q1249" s="147"/>
      <c r="T1249" s="149"/>
      <c r="U1249"/>
      <c r="V1249"/>
      <c r="W1249"/>
      <c r="X1249"/>
    </row>
    <row r="1250" spans="1:24" ht="30" customHeight="1">
      <c r="A1250" s="24" t="s">
        <v>377</v>
      </c>
      <c r="B1250" s="1162" t="s">
        <v>1040</v>
      </c>
      <c r="C1250" s="1163"/>
      <c r="D1250" s="1164"/>
      <c r="E1250" s="142">
        <v>3.44</v>
      </c>
      <c r="F1250" s="10" t="s">
        <v>8</v>
      </c>
      <c r="G1250" s="452"/>
      <c r="H1250" s="439"/>
      <c r="I1250" s="453">
        <f>+E1250</f>
        <v>3.44</v>
      </c>
      <c r="J1250" s="10">
        <v>1.05</v>
      </c>
      <c r="K1250" s="299">
        <f t="shared" si="35"/>
        <v>3.6120000000000001</v>
      </c>
      <c r="L1250" s="401" t="s">
        <v>8</v>
      </c>
      <c r="M1250" s="1146"/>
      <c r="N1250" s="1103"/>
      <c r="O1250"/>
      <c r="P1250" s="159"/>
      <c r="Q1250" s="147"/>
      <c r="T1250" s="149"/>
    </row>
    <row r="1251" spans="1:24" ht="30" customHeight="1">
      <c r="A1251" s="24" t="s">
        <v>377</v>
      </c>
      <c r="B1251" s="1162" t="s">
        <v>1008</v>
      </c>
      <c r="C1251" s="1163"/>
      <c r="D1251" s="1164"/>
      <c r="E1251" s="14">
        <f>0.15*E1250</f>
        <v>0.51600000000000001</v>
      </c>
      <c r="F1251" s="401" t="s">
        <v>8</v>
      </c>
      <c r="G1251" s="452"/>
      <c r="H1251" s="439"/>
      <c r="I1251" s="453">
        <f>E1251</f>
        <v>0.51600000000000001</v>
      </c>
      <c r="J1251" s="10">
        <v>1.05</v>
      </c>
      <c r="K1251" s="115">
        <f t="shared" si="35"/>
        <v>0.54180000000000006</v>
      </c>
      <c r="L1251" s="10" t="s">
        <v>8</v>
      </c>
      <c r="M1251" s="1146"/>
      <c r="N1251" s="1103"/>
      <c r="O1251"/>
      <c r="P1251" s="159"/>
      <c r="Q1251" s="147"/>
      <c r="T1251" s="149"/>
    </row>
    <row r="1252" spans="1:24" ht="30" customHeight="1">
      <c r="A1252" s="24" t="s">
        <v>377</v>
      </c>
      <c r="B1252" s="1162" t="s">
        <v>1009</v>
      </c>
      <c r="C1252" s="1163"/>
      <c r="D1252" s="1164"/>
      <c r="E1252" s="14">
        <f xml:space="preserve"> 0.52+((1.03+1.53)/2)</f>
        <v>1.8</v>
      </c>
      <c r="F1252" s="401" t="s">
        <v>8</v>
      </c>
      <c r="G1252" s="452"/>
      <c r="H1252" s="439"/>
      <c r="I1252" s="453">
        <f>E1252</f>
        <v>1.8</v>
      </c>
      <c r="J1252" s="10">
        <v>1.05</v>
      </c>
      <c r="K1252" s="115">
        <f t="shared" si="35"/>
        <v>1.8900000000000001</v>
      </c>
      <c r="L1252" s="6" t="s">
        <v>8</v>
      </c>
      <c r="M1252" s="1146"/>
      <c r="N1252" s="1103"/>
      <c r="O1252"/>
      <c r="P1252" s="159"/>
      <c r="Q1252" s="147"/>
      <c r="T1252" s="149"/>
    </row>
    <row r="1253" spans="1:24" ht="30" customHeight="1">
      <c r="A1253" s="24" t="s">
        <v>461</v>
      </c>
      <c r="B1253" s="1162" t="s">
        <v>1041</v>
      </c>
      <c r="C1253" s="1163"/>
      <c r="D1253" s="1164"/>
      <c r="E1253" s="115">
        <v>166000</v>
      </c>
      <c r="F1253" s="401" t="s">
        <v>10</v>
      </c>
      <c r="G1253" s="452"/>
      <c r="H1253" s="439" t="s">
        <v>1011</v>
      </c>
      <c r="I1253" s="453">
        <f>+E1253*2/$H$1247</f>
        <v>10.89489055885538</v>
      </c>
      <c r="J1253" s="10">
        <v>1.07</v>
      </c>
      <c r="K1253" s="115">
        <f t="shared" si="35"/>
        <v>11.657532897975257</v>
      </c>
      <c r="L1253" s="6" t="s">
        <v>8</v>
      </c>
      <c r="M1253" s="1146"/>
      <c r="N1253" s="1103"/>
      <c r="O1253"/>
      <c r="P1253" s="159"/>
      <c r="Q1253" s="147"/>
      <c r="T1253" s="149"/>
    </row>
    <row r="1254" spans="1:24" ht="30" customHeight="1">
      <c r="A1254" s="24" t="s">
        <v>395</v>
      </c>
      <c r="B1254" s="1297" t="s">
        <v>1042</v>
      </c>
      <c r="C1254" s="1275"/>
      <c r="D1254" s="1275"/>
      <c r="E1254" s="14">
        <f>+(19.15+29.75)/2</f>
        <v>24.45</v>
      </c>
      <c r="F1254" s="401" t="s">
        <v>1013</v>
      </c>
      <c r="G1254" s="452">
        <f>4*81</f>
        <v>324</v>
      </c>
      <c r="H1254" s="439" t="s">
        <v>8</v>
      </c>
      <c r="I1254" s="453">
        <f>+E1254*G1254/H1247</f>
        <v>0.25996127719620649</v>
      </c>
      <c r="J1254" s="10">
        <v>1.06</v>
      </c>
      <c r="K1254" s="115">
        <f t="shared" si="35"/>
        <v>0.2755589538279789</v>
      </c>
      <c r="L1254" s="6" t="s">
        <v>8</v>
      </c>
      <c r="M1254" s="1146"/>
      <c r="N1254" s="1103"/>
      <c r="O1254"/>
      <c r="P1254" s="159"/>
      <c r="Q1254" s="147"/>
      <c r="T1254" s="149"/>
    </row>
    <row r="1255" spans="1:24" ht="30" customHeight="1">
      <c r="A1255" s="24" t="s">
        <v>395</v>
      </c>
      <c r="B1255" s="1282" t="s">
        <v>1043</v>
      </c>
      <c r="C1255" s="1283"/>
      <c r="D1255" s="1284"/>
      <c r="E1255" s="454">
        <f>+(1610+2280)/2</f>
        <v>1945</v>
      </c>
      <c r="F1255" s="10" t="s">
        <v>10</v>
      </c>
      <c r="G1255" s="130">
        <v>4</v>
      </c>
      <c r="H1255" s="14" t="s">
        <v>1016</v>
      </c>
      <c r="I1255" s="453">
        <f>+E1255*G1255/$H$1247</f>
        <v>0.25530797755390017</v>
      </c>
      <c r="J1255" s="10">
        <v>1.06</v>
      </c>
      <c r="K1255" s="115">
        <f t="shared" si="35"/>
        <v>0.27062645620713421</v>
      </c>
      <c r="L1255" s="6" t="s">
        <v>8</v>
      </c>
      <c r="M1255" s="1146"/>
      <c r="N1255" s="1103"/>
      <c r="O1255"/>
      <c r="P1255" s="159"/>
      <c r="Q1255" s="147"/>
      <c r="T1255" s="149"/>
    </row>
    <row r="1256" spans="1:24" ht="30" customHeight="1">
      <c r="A1256" s="24" t="s">
        <v>398</v>
      </c>
      <c r="B1256" s="1162" t="s">
        <v>1044</v>
      </c>
      <c r="C1256" s="1163"/>
      <c r="D1256" s="1164"/>
      <c r="E1256" s="115">
        <f>+(32.75+785)/2</f>
        <v>408.875</v>
      </c>
      <c r="F1256" s="401" t="s">
        <v>6</v>
      </c>
      <c r="G1256" s="452">
        <f>4*10</f>
        <v>40</v>
      </c>
      <c r="H1256" s="439" t="s">
        <v>1045</v>
      </c>
      <c r="I1256" s="453">
        <f>+E1256*G1256/$H$1247</f>
        <v>0.53670462376530048</v>
      </c>
      <c r="J1256" s="10">
        <v>1.04</v>
      </c>
      <c r="K1256" s="115">
        <f t="shared" si="35"/>
        <v>0.55817280871591257</v>
      </c>
      <c r="L1256" s="6" t="s">
        <v>8</v>
      </c>
      <c r="M1256" s="1146"/>
      <c r="N1256" s="1103"/>
      <c r="O1256"/>
      <c r="P1256" s="159"/>
      <c r="Q1256" s="147"/>
      <c r="T1256" s="149"/>
    </row>
    <row r="1257" spans="1:24" ht="30" customHeight="1">
      <c r="A1257" s="24" t="s">
        <v>398</v>
      </c>
      <c r="B1257" s="1162" t="s">
        <v>1046</v>
      </c>
      <c r="C1257" s="1163"/>
      <c r="D1257" s="1164"/>
      <c r="E1257" s="115">
        <f>+(6150+11800)/2</f>
        <v>8975</v>
      </c>
      <c r="F1257" s="401" t="s">
        <v>10</v>
      </c>
      <c r="G1257" s="452">
        <v>4</v>
      </c>
      <c r="H1257" s="439" t="s">
        <v>1011</v>
      </c>
      <c r="I1257" s="453">
        <f>+E1257*G1257/$H$1247</f>
        <v>1.1780920815147835</v>
      </c>
      <c r="J1257" s="10">
        <v>1.04</v>
      </c>
      <c r="K1257" s="115">
        <f t="shared" si="35"/>
        <v>1.225215764775375</v>
      </c>
      <c r="L1257" s="6" t="s">
        <v>8</v>
      </c>
      <c r="M1257" s="1146"/>
      <c r="N1257" s="1103"/>
      <c r="O1257"/>
      <c r="P1257" s="159"/>
      <c r="Q1257" s="147"/>
      <c r="T1257" s="149"/>
    </row>
    <row r="1258" spans="1:24" ht="30" customHeight="1">
      <c r="A1258" s="24" t="s">
        <v>398</v>
      </c>
      <c r="B1258" s="1162" t="s">
        <v>1047</v>
      </c>
      <c r="C1258" s="1163"/>
      <c r="D1258" s="1164"/>
      <c r="E1258" s="142">
        <f>+(630+965)/2</f>
        <v>797.5</v>
      </c>
      <c r="F1258" s="401" t="s">
        <v>10</v>
      </c>
      <c r="G1258" s="452">
        <v>4</v>
      </c>
      <c r="H1258" s="439" t="s">
        <v>1011</v>
      </c>
      <c r="I1258" s="453">
        <f>+E1258*G1258/$H$1247</f>
        <v>0.10468283398418272</v>
      </c>
      <c r="J1258" s="10">
        <v>1.04</v>
      </c>
      <c r="K1258" s="115">
        <f t="shared" si="35"/>
        <v>0.10887014734355004</v>
      </c>
      <c r="L1258" s="6" t="s">
        <v>8</v>
      </c>
      <c r="M1258" s="1146"/>
      <c r="N1258" s="1103"/>
      <c r="O1258"/>
      <c r="P1258" s="159"/>
      <c r="Q1258" s="147"/>
      <c r="T1258" s="149"/>
    </row>
    <row r="1259" spans="1:24" ht="30" customHeight="1">
      <c r="A1259" s="24" t="s">
        <v>398</v>
      </c>
      <c r="B1259" s="1162" t="s">
        <v>1048</v>
      </c>
      <c r="C1259" s="1163"/>
      <c r="D1259" s="1164"/>
      <c r="E1259" s="115">
        <f>+(1110+3300)/2</f>
        <v>2205</v>
      </c>
      <c r="F1259" s="401" t="s">
        <v>10</v>
      </c>
      <c r="G1259" s="452">
        <v>4</v>
      </c>
      <c r="H1259" s="439" t="s">
        <v>1011</v>
      </c>
      <c r="I1259" s="453">
        <f>+E1259*G1259/$H$1247</f>
        <v>0.28943655038886884</v>
      </c>
      <c r="J1259" s="10">
        <v>1.04</v>
      </c>
      <c r="K1259" s="115">
        <f t="shared" si="35"/>
        <v>0.3010140124044236</v>
      </c>
      <c r="L1259" s="6" t="s">
        <v>8</v>
      </c>
      <c r="M1259" s="1146"/>
      <c r="N1259" s="1103"/>
      <c r="O1259"/>
      <c r="P1259" s="159"/>
      <c r="Q1259" s="147"/>
      <c r="T1259" s="149"/>
    </row>
    <row r="1260" spans="1:24" ht="30" customHeight="1">
      <c r="A1260" s="24"/>
      <c r="B1260" s="1375"/>
      <c r="C1260" s="1375"/>
      <c r="D1260" s="1375"/>
      <c r="E1260" s="115"/>
      <c r="F1260" s="402"/>
      <c r="G1260" s="403"/>
      <c r="H1260" s="403"/>
      <c r="I1260" s="10"/>
      <c r="J1260" s="10" t="s">
        <v>379</v>
      </c>
      <c r="K1260" s="115">
        <f>SUM(K1249:K1259)</f>
        <v>179.66279104124959</v>
      </c>
      <c r="L1260" s="10" t="s">
        <v>8</v>
      </c>
      <c r="M1260" s="1146"/>
      <c r="N1260" s="1103"/>
      <c r="O1260"/>
      <c r="P1260" s="159"/>
      <c r="Q1260" s="147"/>
      <c r="T1260" s="149"/>
    </row>
    <row r="1261" spans="1:24" ht="30" customHeight="1">
      <c r="A1261" s="45"/>
      <c r="B1261" s="157"/>
      <c r="C1261" s="157"/>
      <c r="D1261" s="157"/>
      <c r="E1261" s="157"/>
      <c r="F1261" s="1174" t="s">
        <v>308</v>
      </c>
      <c r="G1261" s="1208" t="s">
        <v>309</v>
      </c>
      <c r="H1261" s="1208"/>
      <c r="I1261" s="1208"/>
      <c r="J1261" s="1208"/>
      <c r="K1261" s="123">
        <v>1.06</v>
      </c>
      <c r="L1261" s="10"/>
      <c r="M1261" s="1146"/>
      <c r="N1261" s="1103"/>
      <c r="O1261"/>
      <c r="P1261" s="159"/>
      <c r="Q1261" s="147"/>
      <c r="T1261" s="149"/>
    </row>
    <row r="1262" spans="1:24" ht="30" customHeight="1">
      <c r="A1262" s="45"/>
      <c r="B1262" s="157"/>
      <c r="C1262" s="157"/>
      <c r="D1262" s="157"/>
      <c r="E1262" s="157"/>
      <c r="F1262" s="1175"/>
      <c r="G1262" s="1209" t="s">
        <v>310</v>
      </c>
      <c r="H1262" s="1209"/>
      <c r="I1262" s="1209"/>
      <c r="J1262" s="1209"/>
      <c r="K1262" s="123">
        <v>1.07</v>
      </c>
      <c r="L1262" s="10"/>
      <c r="M1262" s="1146"/>
      <c r="N1262" s="1103"/>
      <c r="O1262"/>
      <c r="P1262" s="159"/>
      <c r="Q1262" s="147"/>
      <c r="T1262" s="149"/>
    </row>
    <row r="1263" spans="1:24" ht="30" customHeight="1">
      <c r="A1263" s="24"/>
      <c r="B1263" s="10"/>
      <c r="C1263" s="13"/>
      <c r="D1263" s="13"/>
      <c r="E1263" s="13"/>
      <c r="F1263" s="13"/>
      <c r="G1263" s="13"/>
      <c r="H1263" s="13"/>
      <c r="I1263" s="13"/>
      <c r="J1263" s="13" t="s">
        <v>289</v>
      </c>
      <c r="K1263" s="14">
        <f>+K1260*K1261/K1262</f>
        <v>177.98369953619118</v>
      </c>
      <c r="L1263" s="10" t="s">
        <v>8</v>
      </c>
      <c r="M1263" s="1146"/>
      <c r="N1263" s="1103"/>
      <c r="O1263"/>
      <c r="P1263" s="159"/>
      <c r="Q1263" s="147"/>
      <c r="T1263" s="149"/>
    </row>
    <row r="1264" spans="1:24" ht="30" customHeight="1" thickBot="1">
      <c r="A1264" s="24"/>
      <c r="B1264" s="10"/>
      <c r="C1264" s="13"/>
      <c r="D1264" s="13"/>
      <c r="E1264" s="13"/>
      <c r="F1264" s="13"/>
      <c r="G1264" s="160" t="s">
        <v>312</v>
      </c>
      <c r="H1264" s="13"/>
      <c r="I1264" s="13"/>
      <c r="J1264" s="139">
        <f>VLOOKUP(B1247,'Mil Cost Premiums for RUCs'!$A$4:$R$266,18,FALSE)</f>
        <v>1.1932356231980656</v>
      </c>
      <c r="K1264" s="459">
        <f>+K1263*J1264</f>
        <v>212.37649063516434</v>
      </c>
      <c r="L1264" s="10" t="s">
        <v>8</v>
      </c>
      <c r="M1264" s="1146"/>
      <c r="N1264" s="1103"/>
      <c r="O1264"/>
      <c r="P1264" s="159"/>
      <c r="Q1264" s="147"/>
      <c r="T1264" s="149"/>
    </row>
    <row r="1265" spans="1:24" ht="30" customHeight="1" thickBot="1">
      <c r="A1265" s="1165"/>
      <c r="B1265" s="1166"/>
      <c r="C1265" s="1166"/>
      <c r="D1265" s="1166"/>
      <c r="E1265" s="1166"/>
      <c r="F1265" s="1166"/>
      <c r="G1265" s="1166"/>
      <c r="H1265" s="1166"/>
      <c r="I1265" s="1166"/>
      <c r="J1265" s="1477"/>
      <c r="K1265" s="1477"/>
      <c r="L1265" s="1478"/>
      <c r="M1265" s="1146"/>
      <c r="N1265" s="1103"/>
      <c r="O1265"/>
      <c r="P1265" s="159"/>
      <c r="Q1265" s="147"/>
      <c r="T1265" s="149"/>
      <c r="U1265" s="38"/>
      <c r="V1265" s="38"/>
      <c r="W1265" s="38"/>
      <c r="X1265" s="38"/>
    </row>
    <row r="1266" spans="1:24" s="38" customFormat="1" ht="30" customHeight="1">
      <c r="A1266" s="108" t="s">
        <v>280</v>
      </c>
      <c r="B1266" s="163">
        <v>2126</v>
      </c>
      <c r="C1266" s="1479" t="s">
        <v>1049</v>
      </c>
      <c r="D1266" s="1479"/>
      <c r="E1266" s="216" t="s">
        <v>282</v>
      </c>
      <c r="F1266" s="217" t="s">
        <v>8</v>
      </c>
      <c r="G1266" s="58" t="s">
        <v>290</v>
      </c>
      <c r="H1266" s="455">
        <v>35819</v>
      </c>
      <c r="I1266" s="216" t="s">
        <v>283</v>
      </c>
      <c r="J1266" s="1480" t="s">
        <v>2529</v>
      </c>
      <c r="K1266" s="1199"/>
      <c r="L1266" s="1200"/>
      <c r="M1266" s="1146"/>
      <c r="N1266" s="1103"/>
      <c r="P1266" s="159"/>
      <c r="Q1266" s="147"/>
      <c r="T1266" s="149"/>
      <c r="U1266"/>
      <c r="V1266"/>
      <c r="W1266"/>
      <c r="X1266"/>
    </row>
    <row r="1267" spans="1:24" ht="30" customHeight="1">
      <c r="A1267" s="1112" t="s">
        <v>304</v>
      </c>
      <c r="B1267" s="1324" t="s">
        <v>330</v>
      </c>
      <c r="C1267" s="1325"/>
      <c r="D1267" s="1326"/>
      <c r="E1267" s="1110" t="s">
        <v>295</v>
      </c>
      <c r="F1267" s="1110" t="s">
        <v>331</v>
      </c>
      <c r="G1267" s="1206" t="s">
        <v>332</v>
      </c>
      <c r="H1267" s="1207"/>
      <c r="I1267" s="1115" t="s">
        <v>1007</v>
      </c>
      <c r="J1267" s="167" t="s">
        <v>305</v>
      </c>
      <c r="K1267" s="1206" t="s">
        <v>297</v>
      </c>
      <c r="L1267" s="1207"/>
      <c r="M1267" s="1146"/>
      <c r="N1267" s="1103"/>
      <c r="O1267"/>
      <c r="P1267" s="159"/>
      <c r="Q1267" s="147"/>
      <c r="T1267" s="230"/>
      <c r="U1267" s="25"/>
      <c r="V1267" s="25"/>
      <c r="W1267" s="25"/>
      <c r="X1267" s="25"/>
    </row>
    <row r="1268" spans="1:24" s="25" customFormat="1" ht="30" customHeight="1">
      <c r="A1268" s="24" t="s">
        <v>459</v>
      </c>
      <c r="B1268" s="1162" t="s">
        <v>2624</v>
      </c>
      <c r="C1268" s="1163"/>
      <c r="D1268" s="1164"/>
      <c r="E1268" s="115">
        <v>154</v>
      </c>
      <c r="F1268" s="10" t="s">
        <v>8</v>
      </c>
      <c r="G1268" s="450"/>
      <c r="H1268" s="297"/>
      <c r="I1268" s="451">
        <f>+E1268</f>
        <v>154</v>
      </c>
      <c r="J1268" s="10">
        <v>1.05</v>
      </c>
      <c r="K1268" s="299">
        <f>+I1268*J1268</f>
        <v>161.70000000000002</v>
      </c>
      <c r="L1268" s="5" t="s">
        <v>8</v>
      </c>
      <c r="M1268" s="1146"/>
      <c r="N1268" s="1103"/>
      <c r="P1268" s="229"/>
      <c r="Q1268" s="1103"/>
      <c r="T1268" s="149"/>
      <c r="U1268"/>
      <c r="V1268"/>
      <c r="W1268"/>
      <c r="X1268"/>
    </row>
    <row r="1269" spans="1:24" ht="30" customHeight="1">
      <c r="A1269" s="24" t="s">
        <v>377</v>
      </c>
      <c r="B1269" s="1162" t="s">
        <v>1050</v>
      </c>
      <c r="C1269" s="1163"/>
      <c r="D1269" s="1164"/>
      <c r="E1269" s="12">
        <v>4.8499999999999996</v>
      </c>
      <c r="F1269" s="10" t="s">
        <v>8</v>
      </c>
      <c r="G1269" s="452"/>
      <c r="H1269" s="1106"/>
      <c r="I1269" s="451">
        <f>+E1269</f>
        <v>4.8499999999999996</v>
      </c>
      <c r="J1269" s="10">
        <v>1.05</v>
      </c>
      <c r="K1269" s="299">
        <f>+I1269*J1269</f>
        <v>5.0925000000000002</v>
      </c>
      <c r="L1269" s="10" t="s">
        <v>8</v>
      </c>
      <c r="M1269" s="1146"/>
      <c r="N1269" s="1103"/>
      <c r="O1269"/>
      <c r="P1269" s="159"/>
      <c r="Q1269" s="147"/>
      <c r="T1269" s="149"/>
    </row>
    <row r="1270" spans="1:24" ht="30" customHeight="1">
      <c r="A1270" s="24" t="s">
        <v>377</v>
      </c>
      <c r="B1270" s="1162" t="s">
        <v>1051</v>
      </c>
      <c r="C1270" s="1163"/>
      <c r="D1270" s="1164"/>
      <c r="E1270" s="14">
        <f>0.15*E1269</f>
        <v>0.72749999999999992</v>
      </c>
      <c r="F1270" s="1109" t="s">
        <v>8</v>
      </c>
      <c r="G1270" s="452"/>
      <c r="H1270" s="1106"/>
      <c r="I1270" s="451">
        <f>+E1270</f>
        <v>0.72749999999999992</v>
      </c>
      <c r="J1270" s="10">
        <v>1.05</v>
      </c>
      <c r="K1270" s="299">
        <f>+I1270*J1270</f>
        <v>0.76387499999999997</v>
      </c>
      <c r="L1270" s="5" t="s">
        <v>8</v>
      </c>
      <c r="M1270" s="1146"/>
      <c r="N1270" s="1103"/>
      <c r="O1270"/>
      <c r="P1270" s="159"/>
      <c r="Q1270" s="147"/>
      <c r="T1270" s="149"/>
    </row>
    <row r="1271" spans="1:24" ht="30" customHeight="1">
      <c r="A1271" s="24" t="s">
        <v>377</v>
      </c>
      <c r="B1271" s="1162" t="s">
        <v>1009</v>
      </c>
      <c r="C1271" s="1163"/>
      <c r="D1271" s="1164"/>
      <c r="E1271" s="14">
        <f xml:space="preserve"> 0.52+((1.03+1.53)/2)</f>
        <v>1.8</v>
      </c>
      <c r="F1271" s="1109" t="s">
        <v>8</v>
      </c>
      <c r="G1271" s="452"/>
      <c r="H1271" s="1106"/>
      <c r="I1271" s="453">
        <f>+E1271</f>
        <v>1.8</v>
      </c>
      <c r="J1271" s="10">
        <v>1.05</v>
      </c>
      <c r="K1271" s="299">
        <f>+I1271*J1271</f>
        <v>1.8900000000000001</v>
      </c>
      <c r="L1271" s="10" t="s">
        <v>8</v>
      </c>
      <c r="M1271" s="1146"/>
      <c r="N1271" s="1103"/>
      <c r="O1271"/>
      <c r="P1271" s="159"/>
      <c r="Q1271" s="147"/>
      <c r="T1271" s="149"/>
    </row>
    <row r="1272" spans="1:24" ht="30" customHeight="1">
      <c r="A1272" s="24" t="s">
        <v>461</v>
      </c>
      <c r="B1272" s="1162" t="s">
        <v>2684</v>
      </c>
      <c r="C1272" s="1163"/>
      <c r="D1272" s="1164"/>
      <c r="E1272" s="115">
        <v>166000</v>
      </c>
      <c r="F1272" s="1109" t="s">
        <v>10</v>
      </c>
      <c r="G1272" s="1073">
        <v>35819</v>
      </c>
      <c r="H1272" s="1106" t="s">
        <v>1011</v>
      </c>
      <c r="I1272" s="453">
        <f>+E1272/H1266</f>
        <v>4.6344119042966021</v>
      </c>
      <c r="J1272" s="10">
        <v>1.07</v>
      </c>
      <c r="K1272" s="299">
        <f>+I1272*2*J1272</f>
        <v>9.9176414751947295</v>
      </c>
      <c r="L1272" s="5" t="s">
        <v>8</v>
      </c>
      <c r="M1272" s="1146"/>
      <c r="N1272" s="1103"/>
      <c r="O1272"/>
      <c r="P1272" s="159"/>
      <c r="Q1272" s="147"/>
      <c r="T1272" s="149"/>
    </row>
    <row r="1273" spans="1:24" ht="30" customHeight="1">
      <c r="A1273" s="24" t="s">
        <v>395</v>
      </c>
      <c r="B1273" s="1297" t="s">
        <v>1052</v>
      </c>
      <c r="C1273" s="1275"/>
      <c r="D1273" s="1275"/>
      <c r="E1273" s="14">
        <f>+(19.15+29.75)/2</f>
        <v>24.45</v>
      </c>
      <c r="F1273" s="10" t="s">
        <v>1013</v>
      </c>
      <c r="G1273" s="1113">
        <f>4*81</f>
        <v>324</v>
      </c>
      <c r="H1273" s="460" t="s">
        <v>1045</v>
      </c>
      <c r="I1273" s="453">
        <f t="shared" ref="I1273:I1278" si="36">+E1273*G1273/33595</f>
        <v>0.23580294686709333</v>
      </c>
      <c r="J1273" s="10">
        <v>1.06</v>
      </c>
      <c r="K1273" s="299">
        <f t="shared" ref="K1273:K1278" si="37">+I1273*J1273</f>
        <v>0.24995112367911895</v>
      </c>
      <c r="L1273" s="5" t="s">
        <v>8</v>
      </c>
      <c r="M1273" s="1146"/>
      <c r="N1273" s="1103"/>
      <c r="O1273"/>
      <c r="P1273" s="159"/>
      <c r="Q1273" s="147"/>
      <c r="T1273" s="149"/>
    </row>
    <row r="1274" spans="1:24" ht="30" customHeight="1">
      <c r="A1274" s="24" t="s">
        <v>395</v>
      </c>
      <c r="B1274" s="1461" t="s">
        <v>1043</v>
      </c>
      <c r="C1274" s="1462"/>
      <c r="D1274" s="1463"/>
      <c r="E1274" s="454">
        <f>+(1610+2280)/2</f>
        <v>1945</v>
      </c>
      <c r="F1274" s="10" t="s">
        <v>10</v>
      </c>
      <c r="G1274" s="1113">
        <v>4</v>
      </c>
      <c r="H1274" s="14" t="s">
        <v>1016</v>
      </c>
      <c r="I1274" s="453">
        <f t="shared" si="36"/>
        <v>0.23158208066676589</v>
      </c>
      <c r="J1274" s="10">
        <v>1.06</v>
      </c>
      <c r="K1274" s="299">
        <f t="shared" si="37"/>
        <v>0.24547700550677184</v>
      </c>
      <c r="L1274" s="5" t="s">
        <v>8</v>
      </c>
      <c r="M1274" s="1146"/>
      <c r="N1274" s="1103"/>
      <c r="O1274"/>
      <c r="P1274" s="159"/>
      <c r="Q1274" s="147"/>
      <c r="T1274" s="149"/>
    </row>
    <row r="1275" spans="1:24" ht="30" customHeight="1">
      <c r="A1275" s="24" t="s">
        <v>398</v>
      </c>
      <c r="B1275" s="1162" t="s">
        <v>1053</v>
      </c>
      <c r="C1275" s="1163"/>
      <c r="D1275" s="1164"/>
      <c r="E1275" s="115">
        <f>+(32.75+78)/2</f>
        <v>55.375</v>
      </c>
      <c r="F1275" s="1109" t="s">
        <v>6</v>
      </c>
      <c r="G1275" s="452">
        <f>4*10</f>
        <v>40</v>
      </c>
      <c r="H1275" s="1106" t="s">
        <v>1045</v>
      </c>
      <c r="I1275" s="453">
        <f t="shared" si="36"/>
        <v>6.5932430421193636E-2</v>
      </c>
      <c r="J1275" s="10">
        <v>1.04</v>
      </c>
      <c r="K1275" s="299">
        <f t="shared" si="37"/>
        <v>6.8569727638041381E-2</v>
      </c>
      <c r="L1275" s="5" t="s">
        <v>8</v>
      </c>
      <c r="M1275" s="1146"/>
      <c r="N1275" s="1103"/>
      <c r="O1275"/>
      <c r="P1275" s="159"/>
      <c r="Q1275" s="147"/>
      <c r="T1275" s="149"/>
    </row>
    <row r="1276" spans="1:24" ht="30" customHeight="1">
      <c r="A1276" s="24" t="s">
        <v>398</v>
      </c>
      <c r="B1276" s="1162" t="s">
        <v>1046</v>
      </c>
      <c r="C1276" s="1163"/>
      <c r="D1276" s="1164"/>
      <c r="E1276" s="115">
        <f>+(6150+11800)/2</f>
        <v>8975</v>
      </c>
      <c r="F1276" s="1109" t="s">
        <v>10</v>
      </c>
      <c r="G1276" s="452">
        <v>4</v>
      </c>
      <c r="H1276" s="1106" t="s">
        <v>1011</v>
      </c>
      <c r="I1276" s="453">
        <f t="shared" si="36"/>
        <v>1.0686114005060277</v>
      </c>
      <c r="J1276" s="10">
        <v>1.04</v>
      </c>
      <c r="K1276" s="299">
        <f t="shared" si="37"/>
        <v>1.1113558565262689</v>
      </c>
      <c r="L1276" s="5" t="s">
        <v>8</v>
      </c>
      <c r="M1276" s="1146"/>
      <c r="N1276" s="1103"/>
      <c r="O1276"/>
      <c r="P1276" s="159"/>
      <c r="Q1276" s="147"/>
      <c r="T1276" s="149"/>
    </row>
    <row r="1277" spans="1:24" ht="30" customHeight="1">
      <c r="A1277" s="24" t="s">
        <v>398</v>
      </c>
      <c r="B1277" s="1162" t="s">
        <v>1047</v>
      </c>
      <c r="C1277" s="1163"/>
      <c r="D1277" s="1164"/>
      <c r="E1277" s="12">
        <f>+(630+965)/2</f>
        <v>797.5</v>
      </c>
      <c r="F1277" s="1109" t="s">
        <v>10</v>
      </c>
      <c r="G1277" s="452">
        <v>4</v>
      </c>
      <c r="H1277" s="1106" t="s">
        <v>1011</v>
      </c>
      <c r="I1277" s="453">
        <f t="shared" si="36"/>
        <v>9.4954606340229203E-2</v>
      </c>
      <c r="J1277" s="10">
        <v>1.04</v>
      </c>
      <c r="K1277" s="299">
        <f t="shared" si="37"/>
        <v>9.8752790593838374E-2</v>
      </c>
      <c r="L1277" s="10" t="s">
        <v>8</v>
      </c>
      <c r="M1277" s="1146"/>
      <c r="N1277" s="1103"/>
      <c r="O1277"/>
      <c r="P1277" s="159"/>
      <c r="Q1277" s="147"/>
      <c r="T1277" s="149"/>
    </row>
    <row r="1278" spans="1:24" ht="30" customHeight="1">
      <c r="A1278" s="24" t="s">
        <v>398</v>
      </c>
      <c r="B1278" s="1162" t="s">
        <v>1048</v>
      </c>
      <c r="C1278" s="1163"/>
      <c r="D1278" s="1164"/>
      <c r="E1278" s="115">
        <f>+(1110+3300)/2</f>
        <v>2205</v>
      </c>
      <c r="F1278" s="1109" t="s">
        <v>10</v>
      </c>
      <c r="G1278" s="452">
        <v>4</v>
      </c>
      <c r="H1278" s="1106" t="s">
        <v>1011</v>
      </c>
      <c r="I1278" s="453">
        <f t="shared" si="36"/>
        <v>0.26253906831373719</v>
      </c>
      <c r="J1278" s="10">
        <v>1.04</v>
      </c>
      <c r="K1278" s="299">
        <f t="shared" si="37"/>
        <v>0.27304063104628667</v>
      </c>
      <c r="L1278" s="10" t="s">
        <v>8</v>
      </c>
      <c r="M1278" s="1146"/>
      <c r="N1278" s="1103"/>
      <c r="O1278"/>
      <c r="P1278" s="159"/>
      <c r="Q1278" s="147"/>
      <c r="T1278" s="149"/>
    </row>
    <row r="1279" spans="1:24" ht="30" customHeight="1">
      <c r="A1279" s="24"/>
      <c r="B1279" s="1375"/>
      <c r="C1279" s="1375"/>
      <c r="D1279" s="1375"/>
      <c r="E1279" s="115"/>
      <c r="F1279" s="402"/>
      <c r="G1279" s="1111"/>
      <c r="H1279" s="1111"/>
      <c r="I1279" s="10" t="s">
        <v>379</v>
      </c>
      <c r="J1279" s="115">
        <f>SUM(K1268:K1278)</f>
        <v>181.4111636101851</v>
      </c>
      <c r="K1279" s="10" t="s">
        <v>8</v>
      </c>
      <c r="L1279" s="1121"/>
      <c r="M1279" s="1146"/>
      <c r="N1279" s="1103"/>
      <c r="O1279"/>
      <c r="P1279" s="159"/>
      <c r="Q1279" s="147"/>
      <c r="T1279" s="149"/>
    </row>
    <row r="1280" spans="1:24" ht="30" customHeight="1">
      <c r="A1280" s="45"/>
      <c r="B1280" s="1105"/>
      <c r="C1280" s="1105"/>
      <c r="D1280" s="1105"/>
      <c r="E1280" s="1105"/>
      <c r="F1280" s="1174" t="s">
        <v>308</v>
      </c>
      <c r="G1280" s="1208" t="s">
        <v>309</v>
      </c>
      <c r="H1280" s="1208"/>
      <c r="I1280" s="1208"/>
      <c r="J1280" s="1208"/>
      <c r="K1280" s="123">
        <v>1.06</v>
      </c>
      <c r="L1280" s="10"/>
      <c r="M1280" s="1146"/>
      <c r="N1280" s="1103"/>
      <c r="O1280"/>
      <c r="P1280" s="159"/>
      <c r="Q1280" s="147"/>
      <c r="T1280" s="149"/>
    </row>
    <row r="1281" spans="1:24" ht="30" customHeight="1">
      <c r="A1281" s="45"/>
      <c r="B1281" s="1105"/>
      <c r="C1281" s="1105"/>
      <c r="D1281" s="1105"/>
      <c r="E1281" s="1105"/>
      <c r="F1281" s="1175"/>
      <c r="G1281" s="1209" t="s">
        <v>310</v>
      </c>
      <c r="H1281" s="1209"/>
      <c r="I1281" s="1209"/>
      <c r="J1281" s="1209"/>
      <c r="K1281" s="123">
        <v>1.07</v>
      </c>
      <c r="L1281" s="10"/>
      <c r="M1281" s="1146"/>
      <c r="N1281" s="1103"/>
      <c r="O1281"/>
      <c r="P1281" s="159"/>
      <c r="Q1281" s="147"/>
      <c r="T1281" s="149"/>
    </row>
    <row r="1282" spans="1:24" ht="30" customHeight="1">
      <c r="A1282" s="24"/>
      <c r="B1282" s="10"/>
      <c r="C1282" s="13"/>
      <c r="D1282" s="13"/>
      <c r="E1282" s="13"/>
      <c r="F1282" s="13"/>
      <c r="G1282" s="13"/>
      <c r="H1282" s="13"/>
      <c r="I1282" s="13"/>
      <c r="J1282" s="10" t="s">
        <v>289</v>
      </c>
      <c r="K1282" s="14">
        <f>+J1279*K1280/K1281</f>
        <v>179.71573217457589</v>
      </c>
      <c r="L1282" s="10" t="s">
        <v>8</v>
      </c>
      <c r="M1282" s="1146"/>
      <c r="N1282" s="1103"/>
      <c r="O1282"/>
      <c r="P1282" s="159"/>
      <c r="Q1282" s="147"/>
      <c r="T1282" s="149"/>
    </row>
    <row r="1283" spans="1:24" ht="30" customHeight="1">
      <c r="A1283" s="24"/>
      <c r="B1283" s="10"/>
      <c r="C1283" s="13"/>
      <c r="D1283" s="13"/>
      <c r="E1283" s="13"/>
      <c r="F1283" s="441"/>
      <c r="G1283" s="13"/>
      <c r="H1283" s="13"/>
      <c r="I1283" s="461" t="s">
        <v>385</v>
      </c>
      <c r="J1283" s="139">
        <f>VLOOKUP(B1266,'Mil Cost Premiums for RUCs'!$A$4:$R$266,18,FALSE)</f>
        <v>1.1932356231980656</v>
      </c>
      <c r="K1283" s="14">
        <f>+K1282*J1283</f>
        <v>214.44321367982673</v>
      </c>
      <c r="L1283" s="10" t="s">
        <v>8</v>
      </c>
      <c r="M1283" s="1146"/>
      <c r="N1283" s="1103"/>
      <c r="O1283"/>
      <c r="P1283" s="159"/>
      <c r="Q1283" s="147"/>
      <c r="T1283" s="149"/>
    </row>
    <row r="1284" spans="1:24" ht="60" customHeight="1">
      <c r="A1284" s="1335" t="s">
        <v>313</v>
      </c>
      <c r="B1284" s="1335"/>
      <c r="C1284" s="1335"/>
      <c r="D1284" s="1335"/>
      <c r="E1284" s="1335"/>
      <c r="F1284" s="1335"/>
      <c r="G1284" s="1335"/>
      <c r="H1284" s="1335"/>
      <c r="I1284" s="1335"/>
      <c r="J1284" s="1335"/>
      <c r="K1284" s="1335"/>
      <c r="L1284" s="1335"/>
      <c r="M1284" s="1146"/>
      <c r="N1284" s="1103"/>
      <c r="O1284"/>
      <c r="P1284" s="159"/>
      <c r="Q1284" s="147"/>
      <c r="T1284" s="149"/>
    </row>
    <row r="1285" spans="1:24" ht="30" customHeight="1">
      <c r="A1285" s="1265" t="s">
        <v>314</v>
      </c>
      <c r="B1285" s="1265"/>
      <c r="C1285" s="1265"/>
      <c r="D1285" s="1335" t="s">
        <v>1054</v>
      </c>
      <c r="E1285" s="1335"/>
      <c r="F1285" s="1335"/>
      <c r="G1285" s="1335"/>
      <c r="H1285" s="1335"/>
      <c r="I1285" s="1335"/>
      <c r="J1285" s="1335"/>
      <c r="K1285" s="1335"/>
      <c r="L1285" s="1335"/>
      <c r="M1285" s="1146"/>
      <c r="N1285" s="1103"/>
      <c r="O1285"/>
      <c r="P1285" s="159"/>
      <c r="Q1285" s="147"/>
      <c r="T1285" s="149"/>
    </row>
    <row r="1286" spans="1:24" ht="30" customHeight="1">
      <c r="A1286" s="1428" t="s">
        <v>316</v>
      </c>
      <c r="B1286" s="1429"/>
      <c r="C1286" s="1430"/>
      <c r="D1286" s="1336" t="s">
        <v>1055</v>
      </c>
      <c r="E1286" s="1315"/>
      <c r="F1286" s="1315"/>
      <c r="G1286" s="1315"/>
      <c r="H1286" s="1315"/>
      <c r="I1286" s="1315"/>
      <c r="J1286" s="1315"/>
      <c r="K1286" s="1315"/>
      <c r="L1286" s="1316"/>
      <c r="M1286" s="1146"/>
      <c r="N1286" s="1103"/>
      <c r="O1286"/>
      <c r="P1286" s="159"/>
      <c r="Q1286" s="147"/>
      <c r="T1286" s="149"/>
    </row>
    <row r="1287" spans="1:24" ht="30" customHeight="1">
      <c r="A1287" s="1428" t="s">
        <v>317</v>
      </c>
      <c r="B1287" s="1429"/>
      <c r="C1287" s="1430"/>
      <c r="D1287" s="1336" t="s">
        <v>2683</v>
      </c>
      <c r="E1287" s="1315"/>
      <c r="F1287" s="1315"/>
      <c r="G1287" s="1315"/>
      <c r="H1287" s="1315"/>
      <c r="I1287" s="1315"/>
      <c r="J1287" s="1315"/>
      <c r="K1287" s="1315"/>
      <c r="L1287" s="1316"/>
      <c r="M1287" s="1146"/>
      <c r="N1287" s="1103"/>
      <c r="O1287"/>
      <c r="P1287" s="159"/>
      <c r="Q1287" s="147"/>
      <c r="T1287" s="149"/>
      <c r="U1287" s="38"/>
      <c r="V1287" s="38"/>
      <c r="W1287" s="38"/>
      <c r="X1287" s="38"/>
    </row>
    <row r="1288" spans="1:24" s="38" customFormat="1" ht="30" customHeight="1">
      <c r="A1288" s="1428" t="s">
        <v>318</v>
      </c>
      <c r="B1288" s="1429"/>
      <c r="C1288" s="1430"/>
      <c r="D1288" s="1337" t="s">
        <v>1056</v>
      </c>
      <c r="E1288" s="1338"/>
      <c r="F1288" s="1338"/>
      <c r="G1288" s="1338"/>
      <c r="H1288" s="1338"/>
      <c r="I1288" s="1338"/>
      <c r="J1288" s="1338"/>
      <c r="K1288" s="1338"/>
      <c r="L1288" s="1339"/>
      <c r="M1288" s="1146"/>
      <c r="N1288" s="405"/>
      <c r="P1288" s="159"/>
      <c r="Q1288" s="147"/>
      <c r="T1288" s="149"/>
      <c r="U1288"/>
      <c r="V1288"/>
      <c r="W1288"/>
      <c r="X1288"/>
    </row>
    <row r="1289" spans="1:24" ht="90" customHeight="1">
      <c r="A1289" s="1428" t="s">
        <v>320</v>
      </c>
      <c r="B1289" s="1429"/>
      <c r="C1289" s="1430"/>
      <c r="D1289" s="1337" t="s">
        <v>2649</v>
      </c>
      <c r="E1289" s="1338"/>
      <c r="F1289" s="1338"/>
      <c r="G1289" s="1338"/>
      <c r="H1289" s="1338"/>
      <c r="I1289" s="1338"/>
      <c r="J1289" s="1338"/>
      <c r="K1289" s="1338"/>
      <c r="L1289" s="1339"/>
      <c r="M1289" s="1146"/>
      <c r="N1289" s="405"/>
      <c r="O1289"/>
      <c r="P1289" s="159"/>
      <c r="Q1289" s="147"/>
      <c r="T1289" s="149"/>
    </row>
    <row r="1290" spans="1:24" ht="30" customHeight="1">
      <c r="A1290" s="1428" t="s">
        <v>322</v>
      </c>
      <c r="B1290" s="1429"/>
      <c r="C1290" s="1430"/>
      <c r="D1290" s="1336" t="s">
        <v>1057</v>
      </c>
      <c r="E1290" s="1315"/>
      <c r="F1290" s="1315"/>
      <c r="G1290" s="1315"/>
      <c r="H1290" s="1315"/>
      <c r="I1290" s="1315"/>
      <c r="J1290" s="1315"/>
      <c r="K1290" s="1315"/>
      <c r="L1290" s="1316"/>
      <c r="M1290" s="1146"/>
      <c r="N1290" s="1103"/>
      <c r="O1290"/>
      <c r="P1290" s="159"/>
      <c r="Q1290" s="147"/>
      <c r="T1290" s="149"/>
    </row>
    <row r="1291" spans="1:24" ht="30" customHeight="1">
      <c r="A1291" s="1428" t="s">
        <v>324</v>
      </c>
      <c r="B1291" s="1429"/>
      <c r="C1291" s="1430"/>
      <c r="D1291" s="1337" t="s">
        <v>424</v>
      </c>
      <c r="E1291" s="1338"/>
      <c r="F1291" s="1338"/>
      <c r="G1291" s="1338"/>
      <c r="H1291" s="1338"/>
      <c r="I1291" s="1338"/>
      <c r="J1291" s="1338"/>
      <c r="K1291" s="1338"/>
      <c r="L1291" s="1339"/>
      <c r="M1291" s="1146"/>
      <c r="N1291" s="1103"/>
      <c r="O1291"/>
      <c r="P1291" s="159"/>
      <c r="Q1291" s="147"/>
      <c r="T1291" s="149"/>
    </row>
    <row r="1292" spans="1:24" ht="75" customHeight="1">
      <c r="A1292" s="1428" t="s">
        <v>499</v>
      </c>
      <c r="B1292" s="1429"/>
      <c r="C1292" s="1430"/>
      <c r="D1292" s="1422" t="s">
        <v>994</v>
      </c>
      <c r="E1292" s="1423"/>
      <c r="F1292" s="1423"/>
      <c r="G1292" s="1423"/>
      <c r="H1292" s="1423"/>
      <c r="I1292" s="1423"/>
      <c r="J1292" s="1423"/>
      <c r="K1292" s="1423"/>
      <c r="L1292" s="1424"/>
      <c r="M1292" s="1146"/>
      <c r="N1292" s="1103"/>
      <c r="O1292"/>
      <c r="P1292" s="159"/>
      <c r="Q1292" s="147"/>
      <c r="T1292" s="149"/>
    </row>
    <row r="1293" spans="1:24" ht="75" customHeight="1" thickBot="1">
      <c r="A1293" s="1331" t="s">
        <v>327</v>
      </c>
      <c r="B1293" s="1256"/>
      <c r="C1293" s="1257"/>
      <c r="D1293" s="1467" t="s">
        <v>2554</v>
      </c>
      <c r="E1293" s="1468"/>
      <c r="F1293" s="1468"/>
      <c r="G1293" s="1468"/>
      <c r="H1293" s="1468"/>
      <c r="I1293" s="1468"/>
      <c r="J1293" s="1468"/>
      <c r="K1293" s="1468"/>
      <c r="L1293" s="1469"/>
      <c r="M1293" s="1146"/>
      <c r="N1293" s="1103"/>
      <c r="O1293"/>
      <c r="P1293" s="159"/>
      <c r="Q1293" s="147"/>
      <c r="T1293" s="149"/>
    </row>
    <row r="1294" spans="1:24" ht="30" customHeight="1" thickBot="1">
      <c r="A1294" s="1165"/>
      <c r="B1294" s="1166"/>
      <c r="C1294" s="1166"/>
      <c r="D1294" s="1166"/>
      <c r="E1294" s="1166"/>
      <c r="F1294" s="1166"/>
      <c r="G1294" s="1166"/>
      <c r="H1294" s="1166"/>
      <c r="I1294" s="1166"/>
      <c r="J1294" s="1166"/>
      <c r="K1294" s="1166"/>
      <c r="L1294" s="1167"/>
      <c r="M1294" s="1146"/>
      <c r="N1294" s="1103"/>
      <c r="O1294"/>
      <c r="P1294" s="159"/>
      <c r="Q1294" s="147"/>
      <c r="T1294" s="149"/>
    </row>
    <row r="1295" spans="1:24" ht="30" customHeight="1">
      <c r="A1295" s="27" t="s">
        <v>280</v>
      </c>
      <c r="B1295" s="82">
        <v>2131</v>
      </c>
      <c r="C1295" s="1228" t="s">
        <v>1058</v>
      </c>
      <c r="D1295" s="1229"/>
      <c r="E1295" s="74" t="s">
        <v>282</v>
      </c>
      <c r="F1295" s="75" t="s">
        <v>8</v>
      </c>
      <c r="G1295" s="58" t="s">
        <v>290</v>
      </c>
      <c r="H1295" s="462">
        <v>82950</v>
      </c>
      <c r="I1295" s="74" t="s">
        <v>283</v>
      </c>
      <c r="J1295" s="1199" t="s">
        <v>82</v>
      </c>
      <c r="K1295" s="1199"/>
      <c r="L1295" s="1200"/>
      <c r="M1295" s="1146"/>
      <c r="N1295" s="1103"/>
      <c r="O1295"/>
      <c r="P1295" s="159"/>
      <c r="Q1295" s="147"/>
      <c r="T1295" s="149"/>
    </row>
    <row r="1296" spans="1:24" ht="30" customHeight="1">
      <c r="A1296" s="35"/>
      <c r="B1296" s="1232" t="s">
        <v>284</v>
      </c>
      <c r="C1296" s="1232"/>
      <c r="D1296" s="1232"/>
      <c r="E1296" s="77" t="s">
        <v>512</v>
      </c>
      <c r="F1296" s="77" t="s">
        <v>2</v>
      </c>
      <c r="G1296" s="463"/>
      <c r="H1296" s="77"/>
      <c r="I1296" s="1233" t="s">
        <v>426</v>
      </c>
      <c r="J1296" s="1234"/>
      <c r="K1296" s="1303" t="s">
        <v>297</v>
      </c>
      <c r="L1296" s="1304"/>
      <c r="M1296" s="1146"/>
      <c r="N1296" s="1103"/>
      <c r="O1296"/>
      <c r="P1296" s="159"/>
      <c r="Q1296" s="147"/>
      <c r="T1296" s="149"/>
      <c r="U1296" s="38"/>
      <c r="V1296" s="38"/>
      <c r="W1296" s="38"/>
      <c r="X1296" s="38"/>
    </row>
    <row r="1297" spans="1:24" s="38" customFormat="1" ht="30" customHeight="1">
      <c r="A1297" s="40"/>
      <c r="B1297" s="1222" t="s">
        <v>1058</v>
      </c>
      <c r="C1297" s="1222"/>
      <c r="D1297" s="1222"/>
      <c r="E1297" s="464">
        <v>1197.03</v>
      </c>
      <c r="F1297" s="65" t="s">
        <v>8</v>
      </c>
      <c r="G1297" s="226"/>
      <c r="H1297" s="465"/>
      <c r="I1297" s="1192">
        <f>+'2019 MILCON Inflation Table'!F7</f>
        <v>1.3319219250232366</v>
      </c>
      <c r="J1297" s="1193"/>
      <c r="K1297" s="464">
        <f>+E1297*I1297</f>
        <v>1594.3505019105648</v>
      </c>
      <c r="L1297" s="65" t="s">
        <v>8</v>
      </c>
      <c r="M1297" s="1146"/>
      <c r="N1297" s="1103"/>
      <c r="P1297" s="159"/>
      <c r="Q1297" s="147"/>
      <c r="T1297" s="149"/>
      <c r="U1297"/>
      <c r="V1297"/>
      <c r="W1297"/>
      <c r="X1297"/>
    </row>
    <row r="1298" spans="1:24" ht="30" customHeight="1">
      <c r="A1298" s="45"/>
      <c r="B1298" s="1224"/>
      <c r="C1298" s="1224"/>
      <c r="D1298" s="1224"/>
      <c r="E1298" s="18"/>
      <c r="F1298" s="18"/>
      <c r="G1298" s="18"/>
      <c r="H1298" s="18"/>
      <c r="I1298" s="18"/>
      <c r="J1298" s="20" t="s">
        <v>289</v>
      </c>
      <c r="K1298" s="107">
        <f>+K1297</f>
        <v>1594.3505019105648</v>
      </c>
      <c r="L1298" s="20" t="s">
        <v>8</v>
      </c>
      <c r="M1298" s="1146"/>
      <c r="N1298" s="1103"/>
      <c r="O1298"/>
      <c r="P1298" s="159"/>
      <c r="Q1298" s="147"/>
      <c r="T1298" s="149"/>
    </row>
    <row r="1299" spans="1:24" ht="30" customHeight="1">
      <c r="A1299" s="45"/>
      <c r="B1299" s="422"/>
      <c r="C1299" s="466"/>
      <c r="D1299" s="466"/>
      <c r="E1299" s="466"/>
      <c r="F1299" s="466"/>
      <c r="G1299" s="1481" t="s">
        <v>1059</v>
      </c>
      <c r="H1299" s="1481"/>
      <c r="I1299" s="1481"/>
      <c r="J1299" s="1055">
        <f>+'Mil Cost Premiums for RUCs'!R72</f>
        <v>1.1503866704650523</v>
      </c>
      <c r="K1299" s="86">
        <f>+K1298*J1299</f>
        <v>1834.1195654471796</v>
      </c>
      <c r="L1299" s="45" t="s">
        <v>8</v>
      </c>
      <c r="M1299" s="1146"/>
      <c r="N1299" s="1103"/>
      <c r="O1299"/>
      <c r="P1299" s="159"/>
      <c r="Q1299" s="147"/>
      <c r="T1299" s="149"/>
    </row>
    <row r="1300" spans="1:24" ht="30" customHeight="1">
      <c r="A1300" s="1482" t="s">
        <v>2650</v>
      </c>
      <c r="B1300" s="1483"/>
      <c r="C1300" s="1483"/>
      <c r="D1300" s="1483"/>
      <c r="E1300" s="1483"/>
      <c r="F1300" s="1483"/>
      <c r="G1300" s="1483"/>
      <c r="H1300" s="1483"/>
      <c r="I1300" s="1483"/>
      <c r="J1300" s="1483"/>
      <c r="K1300" s="1483"/>
      <c r="L1300" s="1484"/>
      <c r="M1300" s="1146"/>
      <c r="N1300" s="1103"/>
      <c r="O1300"/>
      <c r="P1300" s="159"/>
      <c r="Q1300" s="147"/>
      <c r="T1300" s="149"/>
    </row>
    <row r="1301" spans="1:24" ht="30" customHeight="1">
      <c r="A1301" s="1485"/>
      <c r="B1301" s="1486"/>
      <c r="C1301" s="1486"/>
      <c r="D1301" s="1486"/>
      <c r="E1301" s="1486"/>
      <c r="F1301" s="1486"/>
      <c r="G1301" s="1486"/>
      <c r="H1301" s="1486"/>
      <c r="I1301" s="1486"/>
      <c r="J1301" s="1486"/>
      <c r="K1301" s="1486"/>
      <c r="L1301" s="1487"/>
      <c r="M1301" s="1146"/>
      <c r="N1301" s="1103"/>
      <c r="O1301"/>
      <c r="P1301" s="159"/>
      <c r="Q1301" s="147"/>
      <c r="T1301" s="149"/>
    </row>
    <row r="1302" spans="1:24" ht="30" customHeight="1" thickBot="1">
      <c r="A1302" s="1488"/>
      <c r="B1302" s="1489"/>
      <c r="C1302" s="1489"/>
      <c r="D1302" s="1489"/>
      <c r="E1302" s="1489"/>
      <c r="F1302" s="1489"/>
      <c r="G1302" s="1489"/>
      <c r="H1302" s="1489"/>
      <c r="I1302" s="1489"/>
      <c r="J1302" s="1489"/>
      <c r="K1302" s="1489"/>
      <c r="L1302" s="1490"/>
      <c r="M1302" s="1146"/>
      <c r="N1302" s="1103"/>
      <c r="O1302"/>
      <c r="P1302" s="159"/>
      <c r="Q1302" s="147"/>
      <c r="T1302" s="149"/>
    </row>
    <row r="1303" spans="1:24" ht="30" customHeight="1" thickBot="1">
      <c r="A1303" s="1165"/>
      <c r="B1303" s="1166"/>
      <c r="C1303" s="1166"/>
      <c r="D1303" s="1166"/>
      <c r="E1303" s="1166"/>
      <c r="F1303" s="1166"/>
      <c r="G1303" s="1166"/>
      <c r="H1303" s="1166"/>
      <c r="I1303" s="1166"/>
      <c r="J1303" s="1166"/>
      <c r="K1303" s="1166"/>
      <c r="L1303" s="1167"/>
      <c r="M1303" s="1146"/>
      <c r="N1303" s="1103"/>
      <c r="O1303"/>
      <c r="P1303" s="159"/>
      <c r="Q1303" s="147"/>
      <c r="T1303" s="149"/>
    </row>
    <row r="1304" spans="1:24" ht="30" customHeight="1">
      <c r="A1304" s="27" t="s">
        <v>280</v>
      </c>
      <c r="B1304" s="82">
        <v>2133</v>
      </c>
      <c r="C1304" s="1228" t="s">
        <v>1060</v>
      </c>
      <c r="D1304" s="1229"/>
      <c r="E1304" s="74" t="s">
        <v>282</v>
      </c>
      <c r="F1304" s="75" t="s">
        <v>8</v>
      </c>
      <c r="G1304" s="58" t="s">
        <v>290</v>
      </c>
      <c r="H1304" s="336">
        <v>20372</v>
      </c>
      <c r="I1304" s="74" t="s">
        <v>283</v>
      </c>
      <c r="J1304" s="1199" t="s">
        <v>292</v>
      </c>
      <c r="K1304" s="1230"/>
      <c r="L1304" s="1231"/>
      <c r="M1304" s="1146"/>
      <c r="N1304" s="1103"/>
      <c r="O1304"/>
      <c r="P1304" s="159"/>
      <c r="Q1304" s="147"/>
      <c r="T1304" s="149"/>
    </row>
    <row r="1305" spans="1:24" ht="30" customHeight="1">
      <c r="A1305" s="35" t="s">
        <v>293</v>
      </c>
      <c r="B1305" s="1232" t="s">
        <v>284</v>
      </c>
      <c r="C1305" s="1232"/>
      <c r="D1305" s="1232"/>
      <c r="E1305" s="78" t="s">
        <v>294</v>
      </c>
      <c r="F1305" s="96" t="s">
        <v>295</v>
      </c>
      <c r="G1305" s="77"/>
      <c r="H1305" s="77"/>
      <c r="I1305" s="1233" t="s">
        <v>426</v>
      </c>
      <c r="J1305" s="1234"/>
      <c r="K1305" s="1206" t="s">
        <v>297</v>
      </c>
      <c r="L1305" s="1207"/>
      <c r="M1305" s="1146"/>
      <c r="N1305" s="1103"/>
      <c r="O1305"/>
      <c r="P1305" s="159"/>
      <c r="Q1305" s="147"/>
      <c r="T1305" s="149"/>
    </row>
    <row r="1306" spans="1:24" ht="30" customHeight="1">
      <c r="A1306" s="48" t="s">
        <v>298</v>
      </c>
      <c r="B1306" s="1222" t="s">
        <v>1061</v>
      </c>
      <c r="C1306" s="1222"/>
      <c r="D1306" s="1222"/>
      <c r="E1306" s="98">
        <v>8200</v>
      </c>
      <c r="F1306" s="99">
        <v>285</v>
      </c>
      <c r="G1306" s="100"/>
      <c r="H1306" s="101"/>
      <c r="I1306" s="1192">
        <f>+'2019 MILCON Inflation Table'!F14</f>
        <v>1.0543655984303466</v>
      </c>
      <c r="J1306" s="1193"/>
      <c r="K1306" s="99">
        <f>F1306*I1306</f>
        <v>300.49419555264876</v>
      </c>
      <c r="L1306" s="97" t="s">
        <v>8</v>
      </c>
      <c r="M1306" s="1146"/>
      <c r="N1306" s="1103"/>
      <c r="O1306"/>
      <c r="P1306" s="159"/>
      <c r="Q1306" s="147"/>
      <c r="T1306" s="149"/>
    </row>
    <row r="1307" spans="1:24" ht="30" customHeight="1" thickBot="1">
      <c r="A1307" s="45"/>
      <c r="B1307" s="1224"/>
      <c r="C1307" s="1224"/>
      <c r="D1307" s="1224"/>
      <c r="E1307" s="1225"/>
      <c r="F1307" s="1226"/>
      <c r="G1307" s="1226"/>
      <c r="H1307" s="1227"/>
      <c r="I1307" s="18"/>
      <c r="J1307" s="79" t="s">
        <v>289</v>
      </c>
      <c r="K1307" s="103">
        <f>+K1306</f>
        <v>300.49419555264876</v>
      </c>
      <c r="L1307" s="20" t="s">
        <v>8</v>
      </c>
      <c r="M1307" s="1146"/>
      <c r="N1307" s="1103"/>
      <c r="O1307"/>
      <c r="P1307" s="159"/>
      <c r="Q1307" s="147"/>
      <c r="T1307" s="149"/>
    </row>
    <row r="1308" spans="1:24" ht="30" customHeight="1" thickBot="1">
      <c r="A1308" s="1165"/>
      <c r="B1308" s="1166"/>
      <c r="C1308" s="1166"/>
      <c r="D1308" s="1166"/>
      <c r="E1308" s="1166"/>
      <c r="F1308" s="1166"/>
      <c r="G1308" s="1166"/>
      <c r="H1308" s="1166"/>
      <c r="I1308" s="1166"/>
      <c r="J1308" s="1166"/>
      <c r="K1308" s="1166"/>
      <c r="L1308" s="1167"/>
      <c r="M1308" s="1146"/>
      <c r="N1308" s="1103"/>
      <c r="O1308"/>
      <c r="P1308" s="159"/>
      <c r="Q1308" s="147"/>
      <c r="T1308" s="149"/>
    </row>
    <row r="1309" spans="1:24" ht="30" customHeight="1">
      <c r="A1309" s="1139" t="s">
        <v>280</v>
      </c>
      <c r="B1309" s="1134">
        <v>2134</v>
      </c>
      <c r="C1309" s="1491" t="s">
        <v>1062</v>
      </c>
      <c r="D1309" s="1492"/>
      <c r="E1309" s="644" t="s">
        <v>282</v>
      </c>
      <c r="F1309" s="645" t="s">
        <v>8</v>
      </c>
      <c r="G1309" s="1126" t="s">
        <v>290</v>
      </c>
      <c r="H1309" s="1140">
        <v>16155</v>
      </c>
      <c r="I1309" s="1141" t="s">
        <v>283</v>
      </c>
      <c r="J1309" s="1472" t="s">
        <v>2529</v>
      </c>
      <c r="K1309" s="1472"/>
      <c r="L1309" s="1473"/>
      <c r="M1309" s="1146"/>
      <c r="N1309" s="1103"/>
      <c r="O1309"/>
      <c r="P1309" s="159"/>
      <c r="Q1309" s="147"/>
      <c r="T1309" s="149"/>
    </row>
    <row r="1310" spans="1:24" ht="30" customHeight="1">
      <c r="A1310" s="79" t="s">
        <v>304</v>
      </c>
      <c r="B1310" s="467" t="s">
        <v>330</v>
      </c>
      <c r="C1310" s="468"/>
      <c r="D1310" s="469"/>
      <c r="E1310" s="150" t="s">
        <v>295</v>
      </c>
      <c r="F1310" s="150" t="s">
        <v>331</v>
      </c>
      <c r="G1310" s="1303" t="s">
        <v>332</v>
      </c>
      <c r="H1310" s="1304"/>
      <c r="I1310" s="77" t="s">
        <v>1007</v>
      </c>
      <c r="J1310" s="77" t="s">
        <v>305</v>
      </c>
      <c r="K1310" s="1206" t="s">
        <v>297</v>
      </c>
      <c r="L1310" s="1207"/>
      <c r="M1310" s="1146"/>
      <c r="N1310" s="1103"/>
      <c r="O1310"/>
      <c r="P1310" s="159"/>
      <c r="Q1310" s="147"/>
      <c r="T1310" s="149"/>
    </row>
    <row r="1311" spans="1:24" ht="30" customHeight="1">
      <c r="A1311" s="20" t="s">
        <v>459</v>
      </c>
      <c r="B1311" s="1176" t="s">
        <v>1063</v>
      </c>
      <c r="C1311" s="1177"/>
      <c r="D1311" s="1178"/>
      <c r="E1311" s="470">
        <v>148</v>
      </c>
      <c r="F1311" s="20" t="s">
        <v>8</v>
      </c>
      <c r="G1311" s="206"/>
      <c r="H1311" s="20"/>
      <c r="I1311" s="153">
        <f>+E1311</f>
        <v>148</v>
      </c>
      <c r="J1311" s="20">
        <v>1.05</v>
      </c>
      <c r="K1311" s="471">
        <f>+I1311*J1311</f>
        <v>155.4</v>
      </c>
      <c r="L1311" s="473" t="s">
        <v>8</v>
      </c>
      <c r="M1311" s="1146"/>
      <c r="N1311" s="1103"/>
      <c r="O1311"/>
      <c r="P1311" s="159"/>
      <c r="Q1311" s="147"/>
      <c r="T1311" s="149"/>
    </row>
    <row r="1312" spans="1:24" ht="30" customHeight="1">
      <c r="A1312" s="20" t="s">
        <v>377</v>
      </c>
      <c r="B1312" s="1176" t="s">
        <v>1064</v>
      </c>
      <c r="C1312" s="1177"/>
      <c r="D1312" s="1178"/>
      <c r="E1312" s="472">
        <v>3.88</v>
      </c>
      <c r="F1312" s="20" t="s">
        <v>8</v>
      </c>
      <c r="G1312" s="395"/>
      <c r="H1312" s="329"/>
      <c r="I1312" s="153">
        <f>+E1312</f>
        <v>3.88</v>
      </c>
      <c r="J1312" s="20">
        <v>1.05</v>
      </c>
      <c r="K1312" s="471">
        <f>+I1312*J1312</f>
        <v>4.0739999999999998</v>
      </c>
      <c r="L1312" s="473" t="s">
        <v>8</v>
      </c>
      <c r="M1312" s="1146"/>
      <c r="N1312" s="1103"/>
      <c r="O1312"/>
      <c r="P1312" s="159"/>
      <c r="Q1312" s="147"/>
      <c r="T1312" s="149"/>
    </row>
    <row r="1313" spans="1:24" ht="30" customHeight="1">
      <c r="A1313" s="20" t="s">
        <v>461</v>
      </c>
      <c r="B1313" s="1176" t="s">
        <v>1065</v>
      </c>
      <c r="C1313" s="1177"/>
      <c r="D1313" s="1178"/>
      <c r="E1313" s="470">
        <v>166000</v>
      </c>
      <c r="F1313" s="317" t="s">
        <v>10</v>
      </c>
      <c r="G1313" s="474">
        <f>+H1309</f>
        <v>16155</v>
      </c>
      <c r="H1313" s="329" t="s">
        <v>1011</v>
      </c>
      <c r="I1313" s="153">
        <f>+E1313/G1313</f>
        <v>10.275456515010832</v>
      </c>
      <c r="J1313" s="20">
        <v>1.07</v>
      </c>
      <c r="K1313" s="471">
        <f>+I1313*J1313</f>
        <v>10.994738471061591</v>
      </c>
      <c r="L1313" s="473" t="s">
        <v>8</v>
      </c>
      <c r="M1313" s="1146"/>
      <c r="N1313" s="1103"/>
      <c r="O1313"/>
      <c r="P1313" s="159"/>
      <c r="Q1313" s="147"/>
      <c r="T1313" s="149"/>
    </row>
    <row r="1314" spans="1:24" ht="30" customHeight="1">
      <c r="A1314" s="20" t="s">
        <v>1066</v>
      </c>
      <c r="B1314" s="1179" t="s">
        <v>2555</v>
      </c>
      <c r="C1314" s="1180"/>
      <c r="D1314" s="1181"/>
      <c r="E1314" s="475">
        <v>40.5</v>
      </c>
      <c r="F1314" s="317" t="s">
        <v>8</v>
      </c>
      <c r="G1314" s="395">
        <v>288</v>
      </c>
      <c r="H1314" s="329" t="s">
        <v>479</v>
      </c>
      <c r="I1314" s="153">
        <f>+E1314*G1314/H1309</f>
        <v>0.72200557103064067</v>
      </c>
      <c r="J1314" s="20">
        <v>1.05</v>
      </c>
      <c r="K1314" s="471">
        <f>+I1314*J1314</f>
        <v>0.75810584958217275</v>
      </c>
      <c r="L1314" s="473" t="s">
        <v>8</v>
      </c>
      <c r="M1314" s="1146"/>
      <c r="N1314" s="1103"/>
      <c r="O1314"/>
      <c r="P1314" s="159"/>
      <c r="Q1314" s="147"/>
      <c r="T1314" s="149"/>
    </row>
    <row r="1315" spans="1:24" ht="30" customHeight="1">
      <c r="A1315" s="20"/>
      <c r="B1315" s="436"/>
      <c r="C1315" s="437"/>
      <c r="D1315" s="325"/>
      <c r="E1315" s="153"/>
      <c r="F1315" s="395"/>
      <c r="G1315" s="329"/>
      <c r="H1315" s="20"/>
      <c r="I1315" s="20"/>
      <c r="J1315" s="153" t="s">
        <v>379</v>
      </c>
      <c r="K1315" s="471">
        <f>SUM(K1311:K1314)</f>
        <v>171.22684432064378</v>
      </c>
      <c r="L1315" s="473" t="s">
        <v>8</v>
      </c>
      <c r="M1315" s="1146"/>
      <c r="N1315" s="1103"/>
      <c r="O1315"/>
      <c r="P1315" s="159"/>
      <c r="Q1315" s="147"/>
      <c r="T1315" s="149"/>
    </row>
    <row r="1316" spans="1:24" ht="30" customHeight="1">
      <c r="A1316" s="20"/>
      <c r="B1316" s="157"/>
      <c r="C1316" s="157"/>
      <c r="D1316" s="157"/>
      <c r="E1316" s="157"/>
      <c r="F1316" s="1174" t="s">
        <v>308</v>
      </c>
      <c r="G1316" s="1208" t="s">
        <v>309</v>
      </c>
      <c r="H1316" s="1208"/>
      <c r="I1316" s="1208"/>
      <c r="J1316" s="1208"/>
      <c r="K1316" s="123">
        <v>1.08</v>
      </c>
      <c r="L1316" s="10"/>
      <c r="M1316" s="1146"/>
      <c r="N1316" s="1103"/>
      <c r="O1316"/>
      <c r="P1316" s="159"/>
      <c r="Q1316" s="147"/>
      <c r="T1316" s="149"/>
    </row>
    <row r="1317" spans="1:24" ht="30" customHeight="1">
      <c r="A1317" s="20"/>
      <c r="B1317" s="157"/>
      <c r="C1317" s="157"/>
      <c r="D1317" s="157"/>
      <c r="E1317" s="157"/>
      <c r="F1317" s="1175"/>
      <c r="G1317" s="1209" t="s">
        <v>310</v>
      </c>
      <c r="H1317" s="1209"/>
      <c r="I1317" s="1209"/>
      <c r="J1317" s="1209"/>
      <c r="K1317" s="123">
        <v>1.07</v>
      </c>
      <c r="L1317" s="10"/>
      <c r="M1317" s="1146"/>
      <c r="N1317" s="1103"/>
      <c r="O1317"/>
      <c r="P1317" s="159"/>
      <c r="Q1317" s="147"/>
      <c r="T1317" s="149"/>
      <c r="U1317" s="38"/>
      <c r="V1317" s="38"/>
      <c r="W1317" s="38"/>
      <c r="X1317" s="38"/>
    </row>
    <row r="1318" spans="1:24" s="38" customFormat="1" ht="30" customHeight="1">
      <c r="A1318" s="20"/>
      <c r="B1318" s="1212"/>
      <c r="C1318" s="1213"/>
      <c r="D1318" s="1214"/>
      <c r="E1318" s="18"/>
      <c r="F1318" s="18"/>
      <c r="G1318" s="18"/>
      <c r="H1318" s="18"/>
      <c r="I1318" s="18"/>
      <c r="J1318" s="23" t="s">
        <v>289</v>
      </c>
      <c r="K1318" s="471">
        <f>+K1315*K1316/K1317</f>
        <v>172.82709520214513</v>
      </c>
      <c r="L1318" s="473" t="s">
        <v>8</v>
      </c>
      <c r="M1318" s="1146"/>
      <c r="N1318" s="1103"/>
      <c r="P1318" s="159"/>
      <c r="Q1318" s="147"/>
      <c r="T1318" s="149"/>
      <c r="U1318"/>
      <c r="V1318"/>
      <c r="W1318"/>
      <c r="X1318"/>
    </row>
    <row r="1319" spans="1:24" ht="30" customHeight="1">
      <c r="A1319" s="317"/>
      <c r="B1319" s="272"/>
      <c r="C1319" s="476"/>
      <c r="D1319" s="476"/>
      <c r="E1319" s="476"/>
      <c r="F1319" s="13"/>
      <c r="G1319" s="477"/>
      <c r="H1319" s="477"/>
      <c r="I1319" s="478" t="s">
        <v>385</v>
      </c>
      <c r="J1319" s="139">
        <f>VLOOKUP(B1309,'Mil Cost Premiums for RUCs'!$A$4:$R$266,18,FALSE)</f>
        <v>1.12897214704308</v>
      </c>
      <c r="K1319" s="479">
        <f>+K1318*J1319</f>
        <v>195.11697673758459</v>
      </c>
      <c r="L1319" s="473" t="s">
        <v>8</v>
      </c>
      <c r="M1319" s="1146"/>
      <c r="N1319" s="1103"/>
      <c r="O1319"/>
      <c r="P1319" s="159"/>
      <c r="Q1319" s="147"/>
      <c r="T1319" s="149"/>
    </row>
    <row r="1320" spans="1:24" ht="60" customHeight="1">
      <c r="A1320" s="1270" t="s">
        <v>313</v>
      </c>
      <c r="B1320" s="1371"/>
      <c r="C1320" s="1371"/>
      <c r="D1320" s="1371"/>
      <c r="E1320" s="1371"/>
      <c r="F1320" s="1371"/>
      <c r="G1320" s="1371"/>
      <c r="H1320" s="1371"/>
      <c r="I1320" s="1371"/>
      <c r="J1320" s="1371"/>
      <c r="K1320" s="1371"/>
      <c r="L1320" s="1372"/>
      <c r="M1320" s="1146"/>
      <c r="N1320" s="997"/>
      <c r="O1320"/>
      <c r="P1320" s="159"/>
      <c r="Q1320" s="147"/>
      <c r="T1320" s="149"/>
    </row>
    <row r="1321" spans="1:24" ht="30" customHeight="1">
      <c r="A1321" s="1493" t="s">
        <v>314</v>
      </c>
      <c r="B1321" s="1494"/>
      <c r="C1321" s="1495"/>
      <c r="D1321" s="1270" t="s">
        <v>1067</v>
      </c>
      <c r="E1321" s="1371"/>
      <c r="F1321" s="1371"/>
      <c r="G1321" s="1371"/>
      <c r="H1321" s="1371"/>
      <c r="I1321" s="1371"/>
      <c r="J1321" s="1371"/>
      <c r="K1321" s="1371"/>
      <c r="L1321" s="1372"/>
      <c r="M1321" s="1146"/>
      <c r="N1321" s="1103"/>
      <c r="O1321"/>
      <c r="P1321" s="159"/>
      <c r="Q1321" s="147"/>
      <c r="T1321" s="149"/>
    </row>
    <row r="1322" spans="1:24" ht="30" customHeight="1">
      <c r="A1322" s="1493" t="s">
        <v>316</v>
      </c>
      <c r="B1322" s="1494"/>
      <c r="C1322" s="1495"/>
      <c r="D1322" s="1270" t="s">
        <v>1068</v>
      </c>
      <c r="E1322" s="1371"/>
      <c r="F1322" s="1371"/>
      <c r="G1322" s="1371"/>
      <c r="H1322" s="1371"/>
      <c r="I1322" s="1371"/>
      <c r="J1322" s="1371"/>
      <c r="K1322" s="1371"/>
      <c r="L1322" s="1372"/>
      <c r="M1322" s="1146"/>
      <c r="N1322" s="1103"/>
      <c r="O1322"/>
      <c r="P1322" s="159"/>
      <c r="Q1322" s="147"/>
      <c r="T1322" s="149"/>
    </row>
    <row r="1323" spans="1:24" ht="30" customHeight="1">
      <c r="A1323" s="1493" t="s">
        <v>317</v>
      </c>
      <c r="B1323" s="1494"/>
      <c r="C1323" s="1495"/>
      <c r="D1323" s="1270" t="s">
        <v>2587</v>
      </c>
      <c r="E1323" s="1371"/>
      <c r="F1323" s="1371"/>
      <c r="G1323" s="1371"/>
      <c r="H1323" s="1371"/>
      <c r="I1323" s="1371"/>
      <c r="J1323" s="1371"/>
      <c r="K1323" s="1371"/>
      <c r="L1323" s="1372"/>
      <c r="M1323" s="1146"/>
      <c r="N1323" s="1103"/>
      <c r="O1323"/>
      <c r="P1323" s="159"/>
      <c r="Q1323" s="147"/>
      <c r="T1323" s="149"/>
    </row>
    <row r="1324" spans="1:24" ht="30" customHeight="1">
      <c r="A1324" s="1493" t="s">
        <v>318</v>
      </c>
      <c r="B1324" s="1494"/>
      <c r="C1324" s="1495"/>
      <c r="D1324" s="1270" t="s">
        <v>1069</v>
      </c>
      <c r="E1324" s="1371"/>
      <c r="F1324" s="1371"/>
      <c r="G1324" s="1371"/>
      <c r="H1324" s="1371"/>
      <c r="I1324" s="1371"/>
      <c r="J1324" s="1371"/>
      <c r="K1324" s="1371"/>
      <c r="L1324" s="1372"/>
      <c r="M1324" s="1146"/>
      <c r="N1324" s="1103"/>
      <c r="O1324"/>
      <c r="P1324" s="159"/>
      <c r="Q1324" s="147"/>
      <c r="T1324" s="149"/>
    </row>
    <row r="1325" spans="1:24" ht="75" customHeight="1">
      <c r="A1325" s="1493" t="s">
        <v>320</v>
      </c>
      <c r="B1325" s="1494"/>
      <c r="C1325" s="1495"/>
      <c r="D1325" s="1270" t="s">
        <v>2651</v>
      </c>
      <c r="E1325" s="1371"/>
      <c r="F1325" s="1371"/>
      <c r="G1325" s="1371"/>
      <c r="H1325" s="1371"/>
      <c r="I1325" s="1371"/>
      <c r="J1325" s="1371"/>
      <c r="K1325" s="1371"/>
      <c r="L1325" s="1372"/>
      <c r="M1325" s="1146"/>
      <c r="N1325" s="1103"/>
      <c r="O1325"/>
      <c r="P1325" s="159"/>
      <c r="Q1325" s="147"/>
      <c r="T1325" s="149"/>
    </row>
    <row r="1326" spans="1:24" ht="30" customHeight="1">
      <c r="A1326" s="1504" t="s">
        <v>322</v>
      </c>
      <c r="B1326" s="1505"/>
      <c r="C1326" s="1506"/>
      <c r="D1326" s="1331" t="s">
        <v>1057</v>
      </c>
      <c r="E1326" s="1256"/>
      <c r="F1326" s="1256"/>
      <c r="G1326" s="1256"/>
      <c r="H1326" s="1256"/>
      <c r="I1326" s="1256"/>
      <c r="J1326" s="1256"/>
      <c r="K1326" s="1256"/>
      <c r="L1326" s="1257"/>
      <c r="M1326" s="1146"/>
      <c r="N1326" s="1103"/>
      <c r="O1326"/>
      <c r="P1326" s="159"/>
      <c r="Q1326" s="147"/>
      <c r="T1326" s="149"/>
      <c r="U1326" s="38"/>
      <c r="V1326" s="38"/>
      <c r="W1326" s="38"/>
      <c r="X1326" s="38"/>
    </row>
    <row r="1327" spans="1:24" s="38" customFormat="1" ht="30" customHeight="1">
      <c r="A1327" s="1504" t="s">
        <v>324</v>
      </c>
      <c r="B1327" s="1505"/>
      <c r="C1327" s="1506"/>
      <c r="D1327" s="1331" t="s">
        <v>927</v>
      </c>
      <c r="E1327" s="1256"/>
      <c r="F1327" s="1256"/>
      <c r="G1327" s="1256"/>
      <c r="H1327" s="1256"/>
      <c r="I1327" s="1256"/>
      <c r="J1327" s="1256"/>
      <c r="K1327" s="1256"/>
      <c r="L1327" s="1257"/>
      <c r="M1327" s="1146"/>
      <c r="N1327" s="1103"/>
      <c r="P1327" s="159"/>
      <c r="Q1327" s="147"/>
      <c r="T1327" s="149"/>
    </row>
    <row r="1328" spans="1:24" s="38" customFormat="1" ht="75" customHeight="1">
      <c r="A1328" s="1362" t="s">
        <v>325</v>
      </c>
      <c r="B1328" s="1363"/>
      <c r="C1328" s="1364"/>
      <c r="D1328" s="1507" t="s">
        <v>1070</v>
      </c>
      <c r="E1328" s="1508"/>
      <c r="F1328" s="1508"/>
      <c r="G1328" s="1508"/>
      <c r="H1328" s="1508"/>
      <c r="I1328" s="1508"/>
      <c r="J1328" s="1508"/>
      <c r="K1328" s="1508"/>
      <c r="L1328" s="1509"/>
      <c r="M1328" s="1146"/>
      <c r="N1328" s="1103"/>
      <c r="P1328" s="159"/>
      <c r="Q1328" s="147"/>
      <c r="T1328" s="149"/>
      <c r="U1328"/>
      <c r="V1328"/>
      <c r="W1328"/>
      <c r="X1328"/>
    </row>
    <row r="1329" spans="1:20" ht="60" customHeight="1" thickBot="1">
      <c r="A1329" s="1498" t="s">
        <v>327</v>
      </c>
      <c r="B1329" s="1499"/>
      <c r="C1329" s="1500"/>
      <c r="D1329" s="1501" t="s">
        <v>2556</v>
      </c>
      <c r="E1329" s="1502"/>
      <c r="F1329" s="1502"/>
      <c r="G1329" s="1502"/>
      <c r="H1329" s="1502"/>
      <c r="I1329" s="1502"/>
      <c r="J1329" s="1502"/>
      <c r="K1329" s="1502"/>
      <c r="L1329" s="1503"/>
      <c r="M1329" s="1146"/>
      <c r="N1329" s="1103"/>
      <c r="O1329"/>
      <c r="P1329" s="159"/>
      <c r="Q1329" s="147"/>
      <c r="T1329" s="149"/>
    </row>
    <row r="1330" spans="1:20" ht="30" customHeight="1" thickBot="1">
      <c r="A1330" s="1165"/>
      <c r="B1330" s="1166"/>
      <c r="C1330" s="1166"/>
      <c r="D1330" s="1166"/>
      <c r="E1330" s="1166"/>
      <c r="F1330" s="1166"/>
      <c r="G1330" s="1166"/>
      <c r="H1330" s="1166"/>
      <c r="I1330" s="1166"/>
      <c r="J1330" s="1166"/>
      <c r="K1330" s="1166"/>
      <c r="L1330" s="1167"/>
      <c r="M1330" s="1146"/>
      <c r="N1330" s="1103"/>
      <c r="O1330"/>
      <c r="P1330" s="159"/>
      <c r="Q1330" s="147"/>
      <c r="T1330" s="149"/>
    </row>
    <row r="1331" spans="1:20" ht="30" customHeight="1">
      <c r="A1331" s="27" t="s">
        <v>280</v>
      </c>
      <c r="B1331" s="28">
        <v>2135</v>
      </c>
      <c r="C1331" s="1215" t="s">
        <v>1071</v>
      </c>
      <c r="D1331" s="1216"/>
      <c r="E1331" s="30" t="s">
        <v>282</v>
      </c>
      <c r="F1331" s="31" t="s">
        <v>10</v>
      </c>
      <c r="G1331" s="29" t="s">
        <v>281</v>
      </c>
      <c r="H1331" s="186">
        <v>1</v>
      </c>
      <c r="I1331" s="30" t="s">
        <v>283</v>
      </c>
      <c r="J1331" s="1199" t="s">
        <v>302</v>
      </c>
      <c r="K1331" s="1230"/>
      <c r="L1331" s="1231"/>
      <c r="M1331" s="1146"/>
      <c r="N1331" s="1103"/>
      <c r="O1331"/>
      <c r="P1331" s="159"/>
      <c r="Q1331" s="147"/>
      <c r="T1331" s="149"/>
    </row>
    <row r="1332" spans="1:20" ht="30" customHeight="1">
      <c r="A1332" s="35" t="s">
        <v>293</v>
      </c>
      <c r="B1332" s="1299" t="s">
        <v>284</v>
      </c>
      <c r="C1332" s="1299"/>
      <c r="D1332" s="1299"/>
      <c r="E1332" s="36" t="s">
        <v>294</v>
      </c>
      <c r="F1332" s="310" t="s">
        <v>295</v>
      </c>
      <c r="G1332" s="35"/>
      <c r="H1332" s="35"/>
      <c r="I1332" s="1233" t="s">
        <v>426</v>
      </c>
      <c r="J1332" s="1234"/>
      <c r="K1332" s="1312" t="s">
        <v>297</v>
      </c>
      <c r="L1332" s="1313"/>
      <c r="M1332" s="1146"/>
      <c r="N1332" s="1103"/>
      <c r="O1332"/>
      <c r="P1332" s="159"/>
      <c r="Q1332" s="147"/>
      <c r="T1332" s="149"/>
    </row>
    <row r="1333" spans="1:20" ht="30" customHeight="1">
      <c r="A1333" s="45">
        <v>14962</v>
      </c>
      <c r="B1333" s="1383" t="s">
        <v>500</v>
      </c>
      <c r="C1333" s="1384"/>
      <c r="D1333" s="1385"/>
      <c r="E1333" s="480">
        <v>1</v>
      </c>
      <c r="F1333" s="105">
        <v>6777000</v>
      </c>
      <c r="G1333" s="358"/>
      <c r="H1333" s="481"/>
      <c r="I1333" s="1496">
        <f>+'2019 MILCON Inflation Table'!F15</f>
        <v>1</v>
      </c>
      <c r="J1333" s="1497"/>
      <c r="K1333" s="94">
        <f>+F1333*I1333</f>
        <v>6777000</v>
      </c>
      <c r="L1333" s="48" t="s">
        <v>8</v>
      </c>
      <c r="M1333" s="1146"/>
      <c r="N1333" s="1103"/>
      <c r="O1333"/>
      <c r="P1333" s="159"/>
      <c r="Q1333" s="147"/>
      <c r="T1333" s="149"/>
    </row>
    <row r="1334" spans="1:20" ht="30" customHeight="1" thickBot="1">
      <c r="A1334" s="45"/>
      <c r="B1334" s="1307"/>
      <c r="C1334" s="1307"/>
      <c r="D1334" s="1307"/>
      <c r="E1334" s="203"/>
      <c r="F1334" s="204"/>
      <c r="G1334" s="204"/>
      <c r="H1334" s="205"/>
      <c r="I1334" s="46"/>
      <c r="J1334" s="37" t="s">
        <v>289</v>
      </c>
      <c r="K1334" s="87">
        <f>+K1333</f>
        <v>6777000</v>
      </c>
      <c r="L1334" s="45" t="s">
        <v>8</v>
      </c>
      <c r="M1334" s="1146"/>
      <c r="N1334" s="1103"/>
      <c r="O1334"/>
      <c r="P1334" s="159"/>
      <c r="Q1334" s="147"/>
      <c r="T1334" s="149"/>
    </row>
    <row r="1335" spans="1:20" ht="30" customHeight="1" thickBot="1">
      <c r="A1335" s="1165"/>
      <c r="B1335" s="1166"/>
      <c r="C1335" s="1166"/>
      <c r="D1335" s="1166"/>
      <c r="E1335" s="1166"/>
      <c r="F1335" s="1166"/>
      <c r="G1335" s="1166"/>
      <c r="H1335" s="1166"/>
      <c r="I1335" s="1166"/>
      <c r="J1335" s="1166"/>
      <c r="K1335" s="1166"/>
      <c r="L1335" s="1167"/>
      <c r="M1335" s="1146"/>
      <c r="N1335" s="1103"/>
      <c r="O1335"/>
      <c r="P1335" s="159"/>
      <c r="Q1335" s="147"/>
      <c r="T1335" s="149"/>
    </row>
    <row r="1336" spans="1:20" ht="30" customHeight="1">
      <c r="A1336" s="81" t="s">
        <v>280</v>
      </c>
      <c r="B1336" s="82">
        <v>2141</v>
      </c>
      <c r="C1336" s="1228" t="s">
        <v>1072</v>
      </c>
      <c r="D1336" s="1229"/>
      <c r="E1336" s="74" t="s">
        <v>282</v>
      </c>
      <c r="F1336" s="75" t="s">
        <v>8</v>
      </c>
      <c r="G1336" s="58" t="s">
        <v>290</v>
      </c>
      <c r="H1336" s="16">
        <v>8901</v>
      </c>
      <c r="I1336" s="74" t="s">
        <v>283</v>
      </c>
      <c r="J1336" s="1199" t="s">
        <v>2579</v>
      </c>
      <c r="K1336" s="1230"/>
      <c r="L1336" s="1231"/>
      <c r="M1336" s="1146"/>
      <c r="N1336" s="1103"/>
      <c r="O1336"/>
      <c r="P1336" s="159"/>
      <c r="Q1336" s="147"/>
      <c r="T1336" s="149"/>
    </row>
    <row r="1337" spans="1:20" ht="30" customHeight="1">
      <c r="A1337" s="77" t="s">
        <v>293</v>
      </c>
      <c r="B1337" s="1512" t="s">
        <v>284</v>
      </c>
      <c r="C1337" s="1431"/>
      <c r="D1337" s="1432"/>
      <c r="E1337" s="78" t="s">
        <v>294</v>
      </c>
      <c r="F1337" s="96" t="s">
        <v>295</v>
      </c>
      <c r="G1337" s="77"/>
      <c r="H1337" s="77"/>
      <c r="I1337" s="1233" t="s">
        <v>426</v>
      </c>
      <c r="J1337" s="1234"/>
      <c r="K1337" s="1206" t="s">
        <v>297</v>
      </c>
      <c r="L1337" s="1207"/>
      <c r="M1337" s="1146"/>
      <c r="N1337" s="1103"/>
      <c r="O1337"/>
      <c r="P1337" s="159"/>
      <c r="Q1337" s="147"/>
      <c r="T1337" s="149"/>
    </row>
    <row r="1338" spans="1:20" ht="30" customHeight="1">
      <c r="A1338" s="97" t="s">
        <v>298</v>
      </c>
      <c r="B1338" s="1362" t="s">
        <v>2652</v>
      </c>
      <c r="C1338" s="1363"/>
      <c r="D1338" s="1364"/>
      <c r="E1338" s="98">
        <v>12000</v>
      </c>
      <c r="F1338" s="99">
        <v>303</v>
      </c>
      <c r="G1338" s="100"/>
      <c r="H1338" s="101"/>
      <c r="I1338" s="1192" t="s">
        <v>2562</v>
      </c>
      <c r="J1338" s="1193"/>
      <c r="K1338" s="99">
        <f>+F1338</f>
        <v>303</v>
      </c>
      <c r="L1338" s="97" t="s">
        <v>8</v>
      </c>
      <c r="M1338" s="1146"/>
      <c r="N1338" s="1103"/>
      <c r="O1338"/>
      <c r="P1338" s="159"/>
      <c r="Q1338" s="147"/>
      <c r="T1338" s="149"/>
    </row>
    <row r="1339" spans="1:20" ht="30" customHeight="1" thickBot="1">
      <c r="A1339" s="20"/>
      <c r="B1339" s="1176"/>
      <c r="C1339" s="1177"/>
      <c r="D1339" s="1178"/>
      <c r="E1339" s="1225"/>
      <c r="F1339" s="1226"/>
      <c r="G1339" s="1226"/>
      <c r="H1339" s="1227"/>
      <c r="I1339" s="18"/>
      <c r="J1339" s="79" t="s">
        <v>289</v>
      </c>
      <c r="K1339" s="103">
        <f>+K1338</f>
        <v>303</v>
      </c>
      <c r="L1339" s="20" t="s">
        <v>8</v>
      </c>
      <c r="M1339" s="1146"/>
      <c r="N1339" s="1103"/>
      <c r="O1339"/>
      <c r="P1339" s="159"/>
      <c r="Q1339" s="147"/>
      <c r="T1339" s="149"/>
    </row>
    <row r="1340" spans="1:20" ht="30" customHeight="1" thickBot="1">
      <c r="A1340" s="1165"/>
      <c r="B1340" s="1166"/>
      <c r="C1340" s="1166"/>
      <c r="D1340" s="1166"/>
      <c r="E1340" s="1166"/>
      <c r="F1340" s="1166"/>
      <c r="G1340" s="1166"/>
      <c r="H1340" s="1166"/>
      <c r="I1340" s="1166"/>
      <c r="J1340" s="1166"/>
      <c r="K1340" s="1166"/>
      <c r="L1340" s="1167"/>
      <c r="M1340" s="1146"/>
      <c r="N1340" s="1103"/>
      <c r="O1340"/>
      <c r="P1340" s="159"/>
      <c r="Q1340" s="147"/>
      <c r="T1340" s="149"/>
    </row>
    <row r="1341" spans="1:20" ht="30" customHeight="1">
      <c r="A1341" s="81" t="s">
        <v>280</v>
      </c>
      <c r="B1341" s="82">
        <v>2142</v>
      </c>
      <c r="C1341" s="1510" t="s">
        <v>1073</v>
      </c>
      <c r="D1341" s="1511"/>
      <c r="E1341" s="74" t="s">
        <v>282</v>
      </c>
      <c r="F1341" s="75" t="s">
        <v>8</v>
      </c>
      <c r="G1341" s="58" t="s">
        <v>290</v>
      </c>
      <c r="H1341" s="16">
        <v>31357</v>
      </c>
      <c r="I1341" s="74" t="s">
        <v>283</v>
      </c>
      <c r="J1341" s="1310" t="s">
        <v>2579</v>
      </c>
      <c r="K1341" s="1310"/>
      <c r="L1341" s="1311"/>
      <c r="M1341" s="1146"/>
      <c r="N1341" s="1103"/>
      <c r="O1341"/>
      <c r="P1341" s="159"/>
      <c r="Q1341" s="147"/>
      <c r="T1341" s="149"/>
    </row>
    <row r="1342" spans="1:20" ht="30" customHeight="1">
      <c r="A1342" s="77" t="s">
        <v>293</v>
      </c>
      <c r="B1342" s="1512" t="s">
        <v>284</v>
      </c>
      <c r="C1342" s="1431"/>
      <c r="D1342" s="1432"/>
      <c r="E1342" s="78" t="s">
        <v>294</v>
      </c>
      <c r="F1342" s="96" t="s">
        <v>295</v>
      </c>
      <c r="G1342" s="77"/>
      <c r="H1342" s="77"/>
      <c r="I1342" s="1233" t="s">
        <v>426</v>
      </c>
      <c r="J1342" s="1234"/>
      <c r="K1342" s="1206" t="s">
        <v>297</v>
      </c>
      <c r="L1342" s="1207"/>
      <c r="M1342" s="1146"/>
      <c r="N1342" s="1103"/>
      <c r="O1342"/>
      <c r="P1342" s="159"/>
      <c r="Q1342" s="147"/>
      <c r="T1342" s="149"/>
    </row>
    <row r="1343" spans="1:20" ht="30" customHeight="1">
      <c r="A1343" s="97" t="s">
        <v>298</v>
      </c>
      <c r="B1343" s="1362" t="s">
        <v>2653</v>
      </c>
      <c r="C1343" s="1363"/>
      <c r="D1343" s="1364"/>
      <c r="E1343" s="98">
        <v>47000</v>
      </c>
      <c r="F1343" s="99">
        <v>260</v>
      </c>
      <c r="G1343" s="100"/>
      <c r="H1343" s="101"/>
      <c r="I1343" s="1192" t="s">
        <v>2562</v>
      </c>
      <c r="J1343" s="1193"/>
      <c r="K1343" s="99">
        <f>+F1343</f>
        <v>260</v>
      </c>
      <c r="L1343" s="97" t="s">
        <v>8</v>
      </c>
      <c r="M1343" s="1146"/>
      <c r="N1343" s="1103"/>
      <c r="O1343"/>
      <c r="P1343" s="159"/>
      <c r="Q1343" s="147"/>
      <c r="T1343" s="149"/>
    </row>
    <row r="1344" spans="1:20" ht="30" customHeight="1" thickBot="1">
      <c r="A1344" s="20"/>
      <c r="B1344" s="1176"/>
      <c r="C1344" s="1177"/>
      <c r="D1344" s="1178"/>
      <c r="E1344" s="1225"/>
      <c r="F1344" s="1226"/>
      <c r="G1344" s="1226"/>
      <c r="H1344" s="1227"/>
      <c r="I1344" s="18"/>
      <c r="J1344" s="79" t="s">
        <v>289</v>
      </c>
      <c r="K1344" s="103">
        <f>+K1343</f>
        <v>260</v>
      </c>
      <c r="L1344" s="20" t="s">
        <v>8</v>
      </c>
      <c r="M1344" s="1146"/>
      <c r="N1344" s="1103"/>
      <c r="O1344"/>
      <c r="P1344" s="159"/>
      <c r="Q1344" s="147"/>
      <c r="T1344" s="149"/>
    </row>
    <row r="1345" spans="1:24" ht="30" customHeight="1" thickBot="1">
      <c r="A1345" s="1165"/>
      <c r="B1345" s="1166"/>
      <c r="C1345" s="1166"/>
      <c r="D1345" s="1166"/>
      <c r="E1345" s="1166"/>
      <c r="F1345" s="1166"/>
      <c r="G1345" s="1166"/>
      <c r="H1345" s="1166"/>
      <c r="I1345" s="1166"/>
      <c r="J1345" s="1166"/>
      <c r="K1345" s="1166"/>
      <c r="L1345" s="1167"/>
      <c r="M1345" s="1146"/>
      <c r="N1345" s="1103"/>
      <c r="O1345"/>
      <c r="P1345" s="159"/>
      <c r="Q1345" s="147"/>
      <c r="T1345" s="149"/>
      <c r="U1345" s="38"/>
      <c r="V1345" s="38"/>
      <c r="W1345" s="38"/>
      <c r="X1345" s="38"/>
    </row>
    <row r="1346" spans="1:24" s="38" customFormat="1" ht="30" customHeight="1">
      <c r="A1346" s="81" t="s">
        <v>280</v>
      </c>
      <c r="B1346" s="82">
        <v>2143</v>
      </c>
      <c r="C1346" s="1228" t="s">
        <v>1074</v>
      </c>
      <c r="D1346" s="1229"/>
      <c r="E1346" s="74" t="s">
        <v>282</v>
      </c>
      <c r="F1346" s="75" t="s">
        <v>8</v>
      </c>
      <c r="G1346" s="58" t="s">
        <v>290</v>
      </c>
      <c r="H1346" s="16">
        <v>15570</v>
      </c>
      <c r="I1346" s="74" t="s">
        <v>283</v>
      </c>
      <c r="J1346" s="1310" t="s">
        <v>2579</v>
      </c>
      <c r="K1346" s="1310"/>
      <c r="L1346" s="1311"/>
      <c r="M1346" s="1146"/>
      <c r="N1346" s="1103"/>
      <c r="P1346" s="159"/>
      <c r="Q1346" s="147"/>
      <c r="T1346" s="149"/>
      <c r="U1346"/>
      <c r="V1346"/>
      <c r="W1346"/>
      <c r="X1346"/>
    </row>
    <row r="1347" spans="1:24" ht="30" customHeight="1">
      <c r="A1347" s="77" t="s">
        <v>293</v>
      </c>
      <c r="B1347" s="1512" t="s">
        <v>284</v>
      </c>
      <c r="C1347" s="1431"/>
      <c r="D1347" s="1432"/>
      <c r="E1347" s="78" t="s">
        <v>294</v>
      </c>
      <c r="F1347" s="96" t="s">
        <v>295</v>
      </c>
      <c r="G1347" s="77"/>
      <c r="H1347" s="77"/>
      <c r="I1347" s="1233" t="s">
        <v>426</v>
      </c>
      <c r="J1347" s="1234"/>
      <c r="K1347" s="1206" t="s">
        <v>297</v>
      </c>
      <c r="L1347" s="1207"/>
      <c r="M1347" s="1146"/>
      <c r="N1347" s="1103"/>
      <c r="O1347"/>
      <c r="P1347" s="159"/>
      <c r="Q1347" s="147"/>
      <c r="T1347" s="149"/>
    </row>
    <row r="1348" spans="1:24" ht="30" customHeight="1">
      <c r="A1348" s="97" t="s">
        <v>298</v>
      </c>
      <c r="B1348" s="1362" t="s">
        <v>2923</v>
      </c>
      <c r="C1348" s="1363"/>
      <c r="D1348" s="1364"/>
      <c r="E1348" s="98">
        <v>12000</v>
      </c>
      <c r="F1348" s="99">
        <v>303</v>
      </c>
      <c r="G1348" s="100"/>
      <c r="H1348" s="101"/>
      <c r="I1348" s="1192" t="s">
        <v>2922</v>
      </c>
      <c r="J1348" s="1193"/>
      <c r="K1348" s="99">
        <f>+F1348</f>
        <v>303</v>
      </c>
      <c r="L1348" s="97" t="s">
        <v>8</v>
      </c>
      <c r="M1348" s="1146"/>
      <c r="N1348" s="1103"/>
      <c r="O1348"/>
      <c r="P1348" s="159"/>
      <c r="Q1348" s="147"/>
      <c r="T1348" s="149"/>
    </row>
    <row r="1349" spans="1:24" ht="30" customHeight="1" thickBot="1">
      <c r="A1349" s="20"/>
      <c r="B1349" s="1176"/>
      <c r="C1349" s="1177"/>
      <c r="D1349" s="1178"/>
      <c r="E1349" s="1225"/>
      <c r="F1349" s="1226"/>
      <c r="G1349" s="1226"/>
      <c r="H1349" s="1227"/>
      <c r="I1349" s="18"/>
      <c r="J1349" s="79" t="s">
        <v>289</v>
      </c>
      <c r="K1349" s="103">
        <f>+K1348</f>
        <v>303</v>
      </c>
      <c r="L1349" s="20" t="s">
        <v>8</v>
      </c>
      <c r="M1349" s="1146"/>
      <c r="N1349" s="1103"/>
      <c r="O1349"/>
      <c r="P1349" s="159"/>
      <c r="Q1349" s="147"/>
      <c r="T1349" s="149"/>
    </row>
    <row r="1350" spans="1:24" ht="30" customHeight="1" thickBot="1">
      <c r="A1350" s="1165"/>
      <c r="B1350" s="1166"/>
      <c r="C1350" s="1166"/>
      <c r="D1350" s="1166"/>
      <c r="E1350" s="1166"/>
      <c r="F1350" s="1166"/>
      <c r="G1350" s="1166"/>
      <c r="H1350" s="1166"/>
      <c r="I1350" s="1166"/>
      <c r="J1350" s="1166"/>
      <c r="K1350" s="1166"/>
      <c r="L1350" s="1167"/>
      <c r="M1350" s="1146"/>
      <c r="N1350" s="1103"/>
      <c r="O1350"/>
      <c r="P1350" s="159"/>
      <c r="Q1350" s="147"/>
      <c r="T1350" s="149"/>
    </row>
    <row r="1351" spans="1:24" ht="30" customHeight="1">
      <c r="A1351" s="81" t="s">
        <v>280</v>
      </c>
      <c r="B1351" s="82">
        <v>2144</v>
      </c>
      <c r="C1351" s="1228" t="s">
        <v>1075</v>
      </c>
      <c r="D1351" s="1229"/>
      <c r="E1351" s="74" t="s">
        <v>282</v>
      </c>
      <c r="F1351" s="75" t="s">
        <v>8</v>
      </c>
      <c r="G1351" s="58" t="s">
        <v>290</v>
      </c>
      <c r="H1351" s="16">
        <v>7664</v>
      </c>
      <c r="I1351" s="74" t="s">
        <v>283</v>
      </c>
      <c r="J1351" s="1310" t="s">
        <v>2579</v>
      </c>
      <c r="K1351" s="1310"/>
      <c r="L1351" s="1311"/>
      <c r="M1351" s="1146"/>
      <c r="N1351" s="1103"/>
      <c r="O1351"/>
      <c r="P1351" s="159"/>
      <c r="Q1351" s="147"/>
      <c r="T1351" s="149"/>
    </row>
    <row r="1352" spans="1:24" ht="30" customHeight="1">
      <c r="A1352" s="77" t="s">
        <v>293</v>
      </c>
      <c r="B1352" s="1512" t="s">
        <v>284</v>
      </c>
      <c r="C1352" s="1431"/>
      <c r="D1352" s="1432"/>
      <c r="E1352" s="78" t="s">
        <v>294</v>
      </c>
      <c r="F1352" s="96" t="s">
        <v>295</v>
      </c>
      <c r="G1352" s="77"/>
      <c r="H1352" s="77"/>
      <c r="I1352" s="1233" t="s">
        <v>426</v>
      </c>
      <c r="J1352" s="1234"/>
      <c r="K1352" s="1206" t="s">
        <v>297</v>
      </c>
      <c r="L1352" s="1207"/>
      <c r="M1352" s="1146"/>
      <c r="N1352" s="1103"/>
      <c r="O1352"/>
      <c r="P1352" s="159"/>
      <c r="Q1352" s="147"/>
      <c r="T1352" s="149"/>
    </row>
    <row r="1353" spans="1:24" ht="30" customHeight="1">
      <c r="A1353" s="97" t="s">
        <v>298</v>
      </c>
      <c r="B1353" s="1362" t="s">
        <v>2654</v>
      </c>
      <c r="C1353" s="1363"/>
      <c r="D1353" s="1364"/>
      <c r="E1353" s="98">
        <v>12000</v>
      </c>
      <c r="F1353" s="99">
        <v>303</v>
      </c>
      <c r="G1353" s="100"/>
      <c r="H1353" s="101"/>
      <c r="I1353" s="1192" t="s">
        <v>2551</v>
      </c>
      <c r="J1353" s="1193"/>
      <c r="K1353" s="99">
        <f>+F1353</f>
        <v>303</v>
      </c>
      <c r="L1353" s="97" t="s">
        <v>8</v>
      </c>
      <c r="M1353" s="1146"/>
      <c r="N1353" s="1103"/>
      <c r="O1353"/>
      <c r="P1353" s="159"/>
      <c r="Q1353" s="147"/>
      <c r="T1353" s="149"/>
    </row>
    <row r="1354" spans="1:24" ht="30" customHeight="1" thickBot="1">
      <c r="A1354" s="20"/>
      <c r="B1354" s="1176"/>
      <c r="C1354" s="1177"/>
      <c r="D1354" s="1178"/>
      <c r="E1354" s="1225"/>
      <c r="F1354" s="1226"/>
      <c r="G1354" s="1226"/>
      <c r="H1354" s="1227"/>
      <c r="I1354" s="18"/>
      <c r="J1354" s="79" t="s">
        <v>289</v>
      </c>
      <c r="K1354" s="103">
        <f>+K1353</f>
        <v>303</v>
      </c>
      <c r="L1354" s="20" t="s">
        <v>8</v>
      </c>
      <c r="M1354" s="1146"/>
      <c r="N1354" s="1103"/>
      <c r="O1354"/>
      <c r="P1354" s="159"/>
      <c r="Q1354" s="147"/>
      <c r="T1354" s="149"/>
    </row>
    <row r="1355" spans="1:24" ht="30" customHeight="1" thickBot="1">
      <c r="A1355" s="1165"/>
      <c r="B1355" s="1166"/>
      <c r="C1355" s="1166"/>
      <c r="D1355" s="1166"/>
      <c r="E1355" s="1166"/>
      <c r="F1355" s="1166"/>
      <c r="G1355" s="1166"/>
      <c r="H1355" s="1166"/>
      <c r="I1355" s="1166"/>
      <c r="J1355" s="1166"/>
      <c r="K1355" s="1166"/>
      <c r="L1355" s="1167"/>
      <c r="M1355" s="1146"/>
      <c r="N1355" s="1103"/>
      <c r="O1355"/>
      <c r="P1355" s="159"/>
      <c r="Q1355" s="147"/>
      <c r="T1355" s="149"/>
    </row>
    <row r="1356" spans="1:24" ht="30" customHeight="1">
      <c r="A1356" s="81" t="s">
        <v>280</v>
      </c>
      <c r="B1356" s="82">
        <v>2145</v>
      </c>
      <c r="C1356" s="1228" t="s">
        <v>1076</v>
      </c>
      <c r="D1356" s="1229"/>
      <c r="E1356" s="74" t="s">
        <v>282</v>
      </c>
      <c r="F1356" s="75" t="s">
        <v>10</v>
      </c>
      <c r="G1356" s="58" t="s">
        <v>290</v>
      </c>
      <c r="H1356" s="104">
        <v>1</v>
      </c>
      <c r="I1356" s="74" t="s">
        <v>283</v>
      </c>
      <c r="J1356" s="1199" t="s">
        <v>2569</v>
      </c>
      <c r="K1356" s="1230"/>
      <c r="L1356" s="1231"/>
      <c r="M1356" s="1146"/>
      <c r="N1356" s="1103"/>
      <c r="O1356"/>
      <c r="P1356" s="159"/>
      <c r="Q1356" s="147"/>
      <c r="T1356" s="149"/>
    </row>
    <row r="1357" spans="1:24" ht="30" customHeight="1">
      <c r="A1357" s="77" t="s">
        <v>293</v>
      </c>
      <c r="B1357" s="1512" t="s">
        <v>284</v>
      </c>
      <c r="C1357" s="1431"/>
      <c r="D1357" s="1432"/>
      <c r="E1357" s="96" t="s">
        <v>295</v>
      </c>
      <c r="F1357" s="77" t="s">
        <v>294</v>
      </c>
      <c r="G1357" s="1016" t="s">
        <v>2</v>
      </c>
      <c r="H1357" s="1023" t="s">
        <v>332</v>
      </c>
      <c r="I1357" s="1233" t="s">
        <v>426</v>
      </c>
      <c r="J1357" s="1234"/>
      <c r="K1357" s="1303" t="s">
        <v>297</v>
      </c>
      <c r="L1357" s="1304"/>
      <c r="M1357" s="1146"/>
      <c r="N1357" s="1103"/>
      <c r="O1357"/>
      <c r="P1357" s="159"/>
      <c r="Q1357" s="147"/>
      <c r="T1357" s="149"/>
    </row>
    <row r="1358" spans="1:24" ht="30" customHeight="1">
      <c r="A1358" s="20">
        <v>14955</v>
      </c>
      <c r="B1358" s="1176" t="s">
        <v>2924</v>
      </c>
      <c r="C1358" s="1177"/>
      <c r="D1358" s="1178"/>
      <c r="E1358" s="153">
        <v>110</v>
      </c>
      <c r="F1358" s="316">
        <v>1104</v>
      </c>
      <c r="G1358" s="1056" t="s">
        <v>8</v>
      </c>
      <c r="H1358" s="1056">
        <v>2213</v>
      </c>
      <c r="I1358" s="1192">
        <f>+'2019 MILCON Inflation Table'!F18</f>
        <v>0.94232233454704462</v>
      </c>
      <c r="J1358" s="1193"/>
      <c r="K1358" s="99">
        <f>E1358*H1358*I1358</f>
        <v>229389.52589878708</v>
      </c>
      <c r="L1358" s="97" t="s">
        <v>10</v>
      </c>
      <c r="M1358" s="1146"/>
      <c r="N1358" s="1103"/>
      <c r="O1358"/>
      <c r="P1358" s="159"/>
      <c r="Q1358" s="147"/>
      <c r="T1358" s="149"/>
    </row>
    <row r="1359" spans="1:24" ht="30" customHeight="1">
      <c r="A1359" s="20">
        <v>14960</v>
      </c>
      <c r="B1359" s="1179" t="s">
        <v>1077</v>
      </c>
      <c r="C1359" s="1180"/>
      <c r="D1359" s="1181"/>
      <c r="E1359" s="153">
        <v>62680</v>
      </c>
      <c r="F1359" s="316">
        <v>1</v>
      </c>
      <c r="G1359" s="286" t="s">
        <v>10</v>
      </c>
      <c r="H1359" s="286"/>
      <c r="I1359" s="1192">
        <f>+'2019 MILCON Inflation Table'!F10</f>
        <v>1.2327470846874402</v>
      </c>
      <c r="J1359" s="1193"/>
      <c r="K1359" s="106">
        <f>+E1359*I1359</f>
        <v>77268.58726820875</v>
      </c>
      <c r="L1359" s="97" t="s">
        <v>10</v>
      </c>
      <c r="M1359" s="1146"/>
      <c r="N1359" s="1103"/>
      <c r="O1359"/>
      <c r="P1359" s="159"/>
      <c r="Q1359" s="147"/>
      <c r="T1359" s="149"/>
    </row>
    <row r="1360" spans="1:24" ht="30" customHeight="1" thickBot="1">
      <c r="A1360" s="20"/>
      <c r="B1360" s="1179"/>
      <c r="C1360" s="1180"/>
      <c r="D1360" s="1181"/>
      <c r="E1360" s="181"/>
      <c r="F1360" s="338"/>
      <c r="G1360" s="181"/>
      <c r="H1360" s="339" t="s">
        <v>311</v>
      </c>
      <c r="I1360" s="18"/>
      <c r="J1360" s="79" t="s">
        <v>289</v>
      </c>
      <c r="K1360" s="107">
        <f>AVERAGE(K1358:K1359)</f>
        <v>153329.05658349791</v>
      </c>
      <c r="L1360" s="97" t="s">
        <v>10</v>
      </c>
      <c r="M1360" s="1146"/>
      <c r="N1360" s="1103"/>
      <c r="O1360"/>
      <c r="P1360" s="159"/>
      <c r="Q1360" s="147"/>
      <c r="T1360" s="149"/>
    </row>
    <row r="1361" spans="1:24" ht="30" customHeight="1" thickBot="1">
      <c r="A1361" s="1165"/>
      <c r="B1361" s="1166"/>
      <c r="C1361" s="1166"/>
      <c r="D1361" s="1166"/>
      <c r="E1361" s="1166"/>
      <c r="F1361" s="1166"/>
      <c r="G1361" s="1166"/>
      <c r="H1361" s="1166"/>
      <c r="I1361" s="1166"/>
      <c r="J1361" s="1166"/>
      <c r="K1361" s="1166"/>
      <c r="L1361" s="1167"/>
      <c r="M1361" s="1146"/>
      <c r="N1361" s="1103"/>
      <c r="O1361"/>
      <c r="P1361" s="159"/>
      <c r="Q1361" s="147"/>
      <c r="T1361" s="149"/>
      <c r="U1361" s="38"/>
      <c r="V1361" s="38"/>
      <c r="W1361" s="38"/>
      <c r="X1361" s="38"/>
    </row>
    <row r="1362" spans="1:24" s="38" customFormat="1" ht="30" customHeight="1">
      <c r="A1362" s="81" t="s">
        <v>280</v>
      </c>
      <c r="B1362" s="82">
        <v>2147</v>
      </c>
      <c r="C1362" s="1228" t="s">
        <v>1078</v>
      </c>
      <c r="D1362" s="1229"/>
      <c r="E1362" s="74" t="s">
        <v>282</v>
      </c>
      <c r="F1362" s="75" t="s">
        <v>8</v>
      </c>
      <c r="G1362" s="58" t="s">
        <v>290</v>
      </c>
      <c r="H1362" s="104">
        <v>13263</v>
      </c>
      <c r="I1362" s="74" t="s">
        <v>283</v>
      </c>
      <c r="J1362" s="1199" t="s">
        <v>2569</v>
      </c>
      <c r="K1362" s="1230"/>
      <c r="L1362" s="1231"/>
      <c r="M1362" s="1146"/>
      <c r="N1362" s="1103"/>
      <c r="P1362" s="159"/>
      <c r="Q1362" s="147"/>
      <c r="T1362" s="149"/>
      <c r="U1362"/>
      <c r="V1362"/>
      <c r="W1362"/>
      <c r="X1362"/>
    </row>
    <row r="1363" spans="1:24" ht="30" customHeight="1">
      <c r="A1363" s="77" t="s">
        <v>293</v>
      </c>
      <c r="B1363" s="1232" t="s">
        <v>284</v>
      </c>
      <c r="C1363" s="1232"/>
      <c r="D1363" s="1232"/>
      <c r="E1363" s="96" t="s">
        <v>295</v>
      </c>
      <c r="F1363" s="77" t="s">
        <v>294</v>
      </c>
      <c r="G1363" s="1365" t="s">
        <v>2</v>
      </c>
      <c r="H1363" s="1366"/>
      <c r="I1363" s="1233" t="s">
        <v>426</v>
      </c>
      <c r="J1363" s="1234"/>
      <c r="K1363" s="1303" t="s">
        <v>297</v>
      </c>
      <c r="L1363" s="1304"/>
      <c r="M1363" s="1146"/>
      <c r="N1363" s="1103"/>
      <c r="O1363"/>
      <c r="P1363" s="159"/>
      <c r="Q1363" s="147"/>
      <c r="T1363" s="149"/>
    </row>
    <row r="1364" spans="1:24" ht="30" customHeight="1">
      <c r="A1364" s="20">
        <v>21470</v>
      </c>
      <c r="B1364" s="1176" t="s">
        <v>1079</v>
      </c>
      <c r="C1364" s="1177"/>
      <c r="D1364" s="1178"/>
      <c r="E1364" s="153">
        <v>324</v>
      </c>
      <c r="F1364" s="316">
        <v>390</v>
      </c>
      <c r="G1364" s="286" t="s">
        <v>8</v>
      </c>
      <c r="H1364" s="286"/>
      <c r="I1364" s="1192">
        <f>+'2019 MILCON Inflation Table'!F18</f>
        <v>0.94232233454704462</v>
      </c>
      <c r="J1364" s="1193"/>
      <c r="K1364" s="106">
        <f>+E1364*I1364</f>
        <v>305.31243639324248</v>
      </c>
      <c r="L1364" s="97" t="s">
        <v>8</v>
      </c>
      <c r="M1364" s="1146"/>
      <c r="N1364" s="1103"/>
      <c r="O1364"/>
      <c r="P1364" s="159"/>
      <c r="Q1364" s="147"/>
      <c r="T1364" s="149"/>
    </row>
    <row r="1365" spans="1:24" ht="30" customHeight="1">
      <c r="A1365" s="20">
        <v>21470</v>
      </c>
      <c r="B1365" s="1176" t="s">
        <v>1080</v>
      </c>
      <c r="C1365" s="1177"/>
      <c r="D1365" s="1178"/>
      <c r="E1365" s="153">
        <v>249</v>
      </c>
      <c r="F1365" s="316">
        <v>180</v>
      </c>
      <c r="G1365" s="286" t="s">
        <v>8</v>
      </c>
      <c r="H1365" s="286"/>
      <c r="I1365" s="1192">
        <f>+'2019 MILCON Inflation Table'!F18</f>
        <v>0.94232233454704462</v>
      </c>
      <c r="J1365" s="1193"/>
      <c r="K1365" s="106">
        <f>+E1365*I1365</f>
        <v>234.63826130221412</v>
      </c>
      <c r="L1365" s="97" t="s">
        <v>8</v>
      </c>
      <c r="M1365" s="1146"/>
      <c r="N1365" s="1103"/>
      <c r="O1365"/>
      <c r="P1365" s="159"/>
      <c r="Q1365" s="147"/>
      <c r="T1365" s="149"/>
    </row>
    <row r="1366" spans="1:24" ht="30" customHeight="1" thickBot="1">
      <c r="A1366" s="20"/>
      <c r="B1366" s="1179"/>
      <c r="C1366" s="1180"/>
      <c r="D1366" s="1181"/>
      <c r="E1366" s="181"/>
      <c r="F1366" s="338"/>
      <c r="G1366" s="483"/>
      <c r="H1366" s="339" t="s">
        <v>311</v>
      </c>
      <c r="I1366" s="18"/>
      <c r="J1366" s="79" t="s">
        <v>289</v>
      </c>
      <c r="K1366" s="107">
        <f>AVERAGE(K1364:K1365)</f>
        <v>269.9753488477283</v>
      </c>
      <c r="L1366" s="97" t="s">
        <v>8</v>
      </c>
      <c r="M1366" s="1146"/>
      <c r="N1366" s="1103"/>
      <c r="O1366"/>
      <c r="P1366" s="159"/>
      <c r="Q1366" s="147"/>
      <c r="T1366" s="149"/>
    </row>
    <row r="1367" spans="1:24" ht="30" customHeight="1" thickBot="1">
      <c r="A1367" s="1165"/>
      <c r="B1367" s="1166"/>
      <c r="C1367" s="1166"/>
      <c r="D1367" s="1166"/>
      <c r="E1367" s="1166"/>
      <c r="F1367" s="1166"/>
      <c r="G1367" s="1166"/>
      <c r="H1367" s="1166"/>
      <c r="I1367" s="1166"/>
      <c r="J1367" s="1166"/>
      <c r="K1367" s="1166"/>
      <c r="L1367" s="1167"/>
      <c r="M1367" s="1146"/>
      <c r="N1367" s="1103"/>
      <c r="O1367"/>
      <c r="P1367" s="159"/>
      <c r="Q1367" s="147"/>
      <c r="T1367" s="149"/>
    </row>
    <row r="1368" spans="1:24" ht="30" customHeight="1">
      <c r="A1368" s="81" t="s">
        <v>280</v>
      </c>
      <c r="B1368" s="82">
        <v>2151</v>
      </c>
      <c r="C1368" s="1228" t="s">
        <v>1081</v>
      </c>
      <c r="D1368" s="1229"/>
      <c r="E1368" s="74" t="s">
        <v>282</v>
      </c>
      <c r="F1368" s="75" t="s">
        <v>8</v>
      </c>
      <c r="G1368" s="58" t="s">
        <v>290</v>
      </c>
      <c r="H1368" s="344">
        <v>10508</v>
      </c>
      <c r="I1368" s="74" t="s">
        <v>283</v>
      </c>
      <c r="J1368" s="1199" t="s">
        <v>292</v>
      </c>
      <c r="K1368" s="1230"/>
      <c r="L1368" s="1231"/>
      <c r="M1368" s="1146"/>
      <c r="N1368" s="1103"/>
      <c r="O1368"/>
      <c r="P1368" s="159"/>
      <c r="Q1368" s="147"/>
      <c r="T1368" s="149"/>
    </row>
    <row r="1369" spans="1:24" ht="30" customHeight="1">
      <c r="A1369" s="77" t="s">
        <v>293</v>
      </c>
      <c r="B1369" s="1232" t="s">
        <v>284</v>
      </c>
      <c r="C1369" s="1232"/>
      <c r="D1369" s="1232"/>
      <c r="E1369" s="78" t="s">
        <v>294</v>
      </c>
      <c r="F1369" s="96" t="s">
        <v>295</v>
      </c>
      <c r="G1369" s="77"/>
      <c r="H1369" s="77"/>
      <c r="I1369" s="1233" t="s">
        <v>426</v>
      </c>
      <c r="J1369" s="1234"/>
      <c r="K1369" s="1206" t="s">
        <v>297</v>
      </c>
      <c r="L1369" s="1207"/>
      <c r="M1369" s="1146"/>
      <c r="N1369" s="1103"/>
      <c r="O1369"/>
      <c r="P1369" s="159"/>
      <c r="Q1369" s="147"/>
      <c r="T1369" s="149"/>
    </row>
    <row r="1370" spans="1:24" ht="30" customHeight="1">
      <c r="A1370" s="97" t="s">
        <v>298</v>
      </c>
      <c r="B1370" s="1222" t="s">
        <v>1061</v>
      </c>
      <c r="C1370" s="1222"/>
      <c r="D1370" s="1222"/>
      <c r="E1370" s="98">
        <v>8200</v>
      </c>
      <c r="F1370" s="99">
        <v>285</v>
      </c>
      <c r="G1370" s="100"/>
      <c r="H1370" s="101"/>
      <c r="I1370" s="1192">
        <f>+'2019 MILCON Inflation Table'!F14</f>
        <v>1.0543655984303466</v>
      </c>
      <c r="J1370" s="1193"/>
      <c r="K1370" s="99">
        <f>I1370*F1370</f>
        <v>300.49419555264876</v>
      </c>
      <c r="L1370" s="97" t="s">
        <v>8</v>
      </c>
      <c r="M1370" s="1146"/>
      <c r="N1370" s="1103"/>
      <c r="O1370"/>
      <c r="P1370" s="159"/>
      <c r="Q1370" s="147"/>
      <c r="T1370" s="149"/>
    </row>
    <row r="1371" spans="1:24" ht="30" customHeight="1" thickBot="1">
      <c r="A1371" s="20"/>
      <c r="B1371" s="1224"/>
      <c r="C1371" s="1224"/>
      <c r="D1371" s="1224"/>
      <c r="E1371" s="1225"/>
      <c r="F1371" s="1226"/>
      <c r="G1371" s="1226"/>
      <c r="H1371" s="1227"/>
      <c r="I1371" s="18"/>
      <c r="J1371" s="79" t="s">
        <v>289</v>
      </c>
      <c r="K1371" s="103">
        <f>+K1370</f>
        <v>300.49419555264876</v>
      </c>
      <c r="L1371" s="20" t="s">
        <v>8</v>
      </c>
      <c r="M1371" s="1146"/>
      <c r="N1371" s="1103"/>
      <c r="O1371"/>
      <c r="P1371" s="159"/>
      <c r="Q1371" s="147"/>
      <c r="T1371" s="230"/>
      <c r="U1371" s="25"/>
      <c r="V1371" s="25"/>
      <c r="W1371" s="25"/>
      <c r="X1371" s="25"/>
    </row>
    <row r="1372" spans="1:24" s="25" customFormat="1" ht="30" customHeight="1" thickBot="1">
      <c r="A1372" s="1165"/>
      <c r="B1372" s="1166"/>
      <c r="C1372" s="1166"/>
      <c r="D1372" s="1166"/>
      <c r="E1372" s="1166"/>
      <c r="F1372" s="1166"/>
      <c r="G1372" s="1166"/>
      <c r="H1372" s="1166"/>
      <c r="I1372" s="1166"/>
      <c r="J1372" s="1166"/>
      <c r="K1372" s="1166"/>
      <c r="L1372" s="1167"/>
      <c r="M1372" s="1146"/>
      <c r="N1372" s="1103"/>
      <c r="P1372" s="229"/>
      <c r="Q1372" s="1103"/>
      <c r="T1372" s="149"/>
      <c r="U1372"/>
      <c r="V1372"/>
      <c r="W1372"/>
      <c r="X1372"/>
    </row>
    <row r="1373" spans="1:24" ht="30" customHeight="1">
      <c r="A1373" s="81" t="s">
        <v>280</v>
      </c>
      <c r="B1373" s="82">
        <v>2152</v>
      </c>
      <c r="C1373" s="1228" t="s">
        <v>1082</v>
      </c>
      <c r="D1373" s="1229"/>
      <c r="E1373" s="74" t="s">
        <v>282</v>
      </c>
      <c r="F1373" s="75" t="s">
        <v>8</v>
      </c>
      <c r="G1373" s="58" t="s">
        <v>290</v>
      </c>
      <c r="H1373" s="1057">
        <v>14154</v>
      </c>
      <c r="I1373" s="74" t="s">
        <v>283</v>
      </c>
      <c r="J1373" s="1409" t="s">
        <v>2529</v>
      </c>
      <c r="K1373" s="1409"/>
      <c r="L1373" s="1410"/>
      <c r="M1373" s="1146"/>
      <c r="N1373" s="1103"/>
      <c r="O1373"/>
      <c r="P1373" s="159"/>
      <c r="Q1373" s="147"/>
      <c r="T1373" s="149"/>
    </row>
    <row r="1374" spans="1:24" ht="30" customHeight="1">
      <c r="A1374" s="167" t="s">
        <v>1083</v>
      </c>
      <c r="B1374" s="1243" t="s">
        <v>1084</v>
      </c>
      <c r="C1374" s="1244"/>
      <c r="D1374" s="1245"/>
      <c r="E1374" s="167" t="s">
        <v>1085</v>
      </c>
      <c r="F1374" s="167" t="s">
        <v>331</v>
      </c>
      <c r="G1374" s="167" t="s">
        <v>1086</v>
      </c>
      <c r="H1374" s="167" t="s">
        <v>1087</v>
      </c>
      <c r="I1374" s="167" t="s">
        <v>305</v>
      </c>
      <c r="J1374" s="167"/>
      <c r="K1374" s="1206" t="s">
        <v>297</v>
      </c>
      <c r="L1374" s="1207"/>
      <c r="M1374" s="1146"/>
      <c r="N1374" s="430"/>
      <c r="O1374"/>
      <c r="P1374" s="159"/>
      <c r="Q1374" s="147"/>
      <c r="T1374" s="149"/>
    </row>
    <row r="1375" spans="1:24" ht="45" customHeight="1">
      <c r="A1375" s="10" t="s">
        <v>459</v>
      </c>
      <c r="B1375" s="1513" t="s">
        <v>2685</v>
      </c>
      <c r="C1375" s="1514"/>
      <c r="D1375" s="1515"/>
      <c r="E1375" s="14">
        <f>154-2.36</f>
        <v>151.63999999999999</v>
      </c>
      <c r="F1375" s="10" t="s">
        <v>8</v>
      </c>
      <c r="G1375" s="130"/>
      <c r="H1375" s="14">
        <f>+E1375</f>
        <v>151.63999999999999</v>
      </c>
      <c r="I1375" s="13">
        <v>1.05</v>
      </c>
      <c r="J1375" s="13"/>
      <c r="K1375" s="14">
        <f>+H1375*I1375</f>
        <v>159.22199999999998</v>
      </c>
      <c r="L1375" s="473" t="s">
        <v>8</v>
      </c>
      <c r="M1375" s="1146"/>
      <c r="N1375" s="1103"/>
      <c r="O1375"/>
      <c r="P1375" s="159"/>
      <c r="Q1375" s="147"/>
      <c r="T1375" s="149"/>
    </row>
    <row r="1376" spans="1:24" ht="30" customHeight="1">
      <c r="A1376" s="10" t="s">
        <v>461</v>
      </c>
      <c r="B1376" s="1162" t="s">
        <v>1088</v>
      </c>
      <c r="C1376" s="1163"/>
      <c r="D1376" s="1164"/>
      <c r="E1376" s="484">
        <v>166000</v>
      </c>
      <c r="F1376" s="10" t="s">
        <v>10</v>
      </c>
      <c r="G1376" s="130"/>
      <c r="H1376" s="14">
        <f>+E1376/H1373</f>
        <v>11.728133389854458</v>
      </c>
      <c r="I1376" s="13">
        <v>1.07</v>
      </c>
      <c r="J1376" s="13"/>
      <c r="K1376" s="14">
        <f t="shared" ref="K1376:K1384" si="38">+H1376*I1376</f>
        <v>12.54910272714427</v>
      </c>
      <c r="L1376" s="473" t="s">
        <v>8</v>
      </c>
      <c r="M1376" s="1146"/>
      <c r="N1376" s="1103"/>
      <c r="O1376"/>
      <c r="P1376" s="159"/>
      <c r="Q1376" s="147"/>
      <c r="T1376" s="149"/>
    </row>
    <row r="1377" spans="1:24" ht="30" customHeight="1">
      <c r="A1377" s="10" t="s">
        <v>395</v>
      </c>
      <c r="B1377" s="1162" t="s">
        <v>1089</v>
      </c>
      <c r="C1377" s="1163"/>
      <c r="D1377" s="1164"/>
      <c r="E1377" s="14">
        <f>+(19.15+29.75)/2</f>
        <v>24.45</v>
      </c>
      <c r="F1377" s="10" t="s">
        <v>1023</v>
      </c>
      <c r="G1377" s="130">
        <v>162</v>
      </c>
      <c r="H1377" s="14">
        <f>+E1377*G1377/H1373</f>
        <v>0.27984315387876219</v>
      </c>
      <c r="I1377" s="13">
        <v>1.06</v>
      </c>
      <c r="J1377" s="13"/>
      <c r="K1377" s="14">
        <f t="shared" si="38"/>
        <v>0.29663374311148794</v>
      </c>
      <c r="L1377" s="473" t="s">
        <v>8</v>
      </c>
      <c r="M1377" s="1146"/>
      <c r="N1377" s="1103"/>
      <c r="O1377"/>
      <c r="P1377" s="159"/>
      <c r="Q1377" s="147"/>
      <c r="T1377" s="149"/>
    </row>
    <row r="1378" spans="1:24" ht="30" customHeight="1">
      <c r="A1378" s="10" t="s">
        <v>395</v>
      </c>
      <c r="B1378" s="1162" t="s">
        <v>1090</v>
      </c>
      <c r="C1378" s="1163"/>
      <c r="D1378" s="1164"/>
      <c r="E1378" s="454">
        <f>+(1610+2280)/2</f>
        <v>1945</v>
      </c>
      <c r="F1378" s="10" t="s">
        <v>10</v>
      </c>
      <c r="G1378" s="130">
        <v>2</v>
      </c>
      <c r="H1378" s="14">
        <f>+E1378*G1378/H1373</f>
        <v>0.27483396919598702</v>
      </c>
      <c r="I1378" s="13">
        <v>1.06</v>
      </c>
      <c r="J1378" s="13"/>
      <c r="K1378" s="14">
        <f t="shared" si="38"/>
        <v>0.29132400734774627</v>
      </c>
      <c r="L1378" s="473" t="s">
        <v>8</v>
      </c>
      <c r="M1378" s="1146"/>
      <c r="N1378" s="1103"/>
      <c r="O1378"/>
      <c r="P1378" s="159"/>
      <c r="Q1378" s="147"/>
      <c r="T1378" s="149"/>
    </row>
    <row r="1379" spans="1:24" ht="30" customHeight="1">
      <c r="A1379" s="10" t="s">
        <v>398</v>
      </c>
      <c r="B1379" s="1162" t="s">
        <v>1091</v>
      </c>
      <c r="C1379" s="1163"/>
      <c r="D1379" s="1164"/>
      <c r="E1379" s="14">
        <f>+(32.75+78)/2</f>
        <v>55.375</v>
      </c>
      <c r="F1379" s="10" t="s">
        <v>6</v>
      </c>
      <c r="G1379" s="130">
        <v>20</v>
      </c>
      <c r="H1379" s="14">
        <f>+E1379*G1379/H1373</f>
        <v>7.824643210399887E-2</v>
      </c>
      <c r="I1379" s="13">
        <v>1.04</v>
      </c>
      <c r="J1379" s="13"/>
      <c r="K1379" s="14">
        <f t="shared" si="38"/>
        <v>8.1376289388158829E-2</v>
      </c>
      <c r="L1379" s="473" t="s">
        <v>8</v>
      </c>
      <c r="M1379" s="1146"/>
      <c r="N1379" s="1103"/>
      <c r="O1379"/>
      <c r="P1379" s="159"/>
      <c r="Q1379" s="147"/>
      <c r="T1379" s="149"/>
    </row>
    <row r="1380" spans="1:24" ht="30" customHeight="1">
      <c r="A1380" s="10" t="s">
        <v>398</v>
      </c>
      <c r="B1380" s="1162" t="s">
        <v>1026</v>
      </c>
      <c r="C1380" s="1163"/>
      <c r="D1380" s="1164"/>
      <c r="E1380" s="14">
        <f>(6150+11800)/2</f>
        <v>8975</v>
      </c>
      <c r="F1380" s="10" t="s">
        <v>10</v>
      </c>
      <c r="G1380" s="130">
        <v>2</v>
      </c>
      <c r="H1380" s="14">
        <f>+E1380*G1380/H1373</f>
        <v>1.2681927370354671</v>
      </c>
      <c r="I1380" s="13">
        <v>1.04</v>
      </c>
      <c r="J1380" s="13"/>
      <c r="K1380" s="14">
        <f t="shared" si="38"/>
        <v>1.3189204465168858</v>
      </c>
      <c r="L1380" s="473" t="s">
        <v>8</v>
      </c>
      <c r="M1380" s="1146"/>
      <c r="N1380" s="1103"/>
      <c r="O1380"/>
      <c r="P1380" s="159"/>
      <c r="Q1380" s="147"/>
      <c r="T1380" s="149"/>
    </row>
    <row r="1381" spans="1:24" ht="30" customHeight="1">
      <c r="A1381" s="10" t="s">
        <v>398</v>
      </c>
      <c r="B1381" s="1162" t="s">
        <v>1092</v>
      </c>
      <c r="C1381" s="1163"/>
      <c r="D1381" s="1164"/>
      <c r="E1381" s="14">
        <f>(630+965)/2</f>
        <v>797.5</v>
      </c>
      <c r="F1381" s="10" t="s">
        <v>10</v>
      </c>
      <c r="G1381" s="130">
        <v>2</v>
      </c>
      <c r="H1381" s="14">
        <f>+E1381*G1381/H1373</f>
        <v>0.11268899251095096</v>
      </c>
      <c r="I1381" s="13">
        <v>1.04</v>
      </c>
      <c r="J1381" s="13"/>
      <c r="K1381" s="14">
        <f t="shared" si="38"/>
        <v>0.11719655221138901</v>
      </c>
      <c r="L1381" s="473" t="s">
        <v>8</v>
      </c>
      <c r="M1381" s="1146"/>
      <c r="N1381" s="1103"/>
      <c r="O1381"/>
      <c r="P1381" s="159"/>
      <c r="Q1381" s="147"/>
      <c r="T1381" s="149"/>
    </row>
    <row r="1382" spans="1:24" ht="30" customHeight="1">
      <c r="A1382" s="10" t="s">
        <v>398</v>
      </c>
      <c r="B1382" s="1162" t="s">
        <v>1028</v>
      </c>
      <c r="C1382" s="1163"/>
      <c r="D1382" s="1164"/>
      <c r="E1382" s="14">
        <f>(1110+3300)/2</f>
        <v>2205</v>
      </c>
      <c r="F1382" s="10" t="s">
        <v>10</v>
      </c>
      <c r="G1382" s="130">
        <v>2</v>
      </c>
      <c r="H1382" s="14">
        <f>+E1382*G1382/H1373</f>
        <v>0.31157270029673589</v>
      </c>
      <c r="I1382" s="13">
        <v>1.04</v>
      </c>
      <c r="J1382" s="13"/>
      <c r="K1382" s="14">
        <f t="shared" si="38"/>
        <v>0.32403560830860534</v>
      </c>
      <c r="L1382" s="473" t="s">
        <v>8</v>
      </c>
      <c r="M1382" s="1146"/>
      <c r="N1382" s="1103"/>
      <c r="O1382"/>
      <c r="P1382" s="159"/>
      <c r="Q1382" s="147"/>
      <c r="T1382" s="149"/>
    </row>
    <row r="1383" spans="1:24" ht="30" customHeight="1">
      <c r="A1383" s="10" t="s">
        <v>377</v>
      </c>
      <c r="B1383" s="1162" t="s">
        <v>419</v>
      </c>
      <c r="C1383" s="1163"/>
      <c r="D1383" s="1164"/>
      <c r="E1383" s="14">
        <v>2.97</v>
      </c>
      <c r="F1383" s="10" t="s">
        <v>8</v>
      </c>
      <c r="G1383" s="130"/>
      <c r="H1383" s="14">
        <f>+E1383</f>
        <v>2.97</v>
      </c>
      <c r="I1383" s="13">
        <v>1.05</v>
      </c>
      <c r="J1383" s="13"/>
      <c r="K1383" s="14">
        <f t="shared" si="38"/>
        <v>3.1185000000000005</v>
      </c>
      <c r="L1383" s="473" t="s">
        <v>8</v>
      </c>
      <c r="M1383" s="1146"/>
      <c r="N1383" s="1103"/>
      <c r="O1383"/>
      <c r="P1383" s="159"/>
      <c r="Q1383" s="147"/>
      <c r="T1383" s="149"/>
      <c r="U1383" s="38"/>
      <c r="V1383" s="38"/>
      <c r="W1383" s="38"/>
      <c r="X1383" s="38"/>
    </row>
    <row r="1384" spans="1:24" s="38" customFormat="1" ht="30" customHeight="1">
      <c r="A1384" s="10" t="s">
        <v>377</v>
      </c>
      <c r="B1384" s="1162" t="s">
        <v>987</v>
      </c>
      <c r="C1384" s="1163"/>
      <c r="D1384" s="1164"/>
      <c r="E1384" s="14">
        <f xml:space="preserve"> 0.52+((1.03+1.53)/2)</f>
        <v>1.8</v>
      </c>
      <c r="F1384" s="10" t="s">
        <v>8</v>
      </c>
      <c r="G1384" s="130"/>
      <c r="H1384" s="14">
        <f>+E1384</f>
        <v>1.8</v>
      </c>
      <c r="I1384" s="13">
        <v>1.05</v>
      </c>
      <c r="J1384" s="13"/>
      <c r="K1384" s="14">
        <f t="shared" si="38"/>
        <v>1.8900000000000001</v>
      </c>
      <c r="L1384" s="473" t="s">
        <v>8</v>
      </c>
      <c r="M1384" s="1146"/>
      <c r="N1384" s="1103"/>
      <c r="P1384" s="159"/>
      <c r="Q1384" s="147"/>
      <c r="T1384" s="149"/>
      <c r="U1384"/>
      <c r="V1384"/>
      <c r="W1384"/>
      <c r="X1384"/>
    </row>
    <row r="1385" spans="1:24" ht="30" customHeight="1">
      <c r="A1385" s="10"/>
      <c r="B1385" s="485"/>
      <c r="C1385" s="486"/>
      <c r="D1385" s="487"/>
      <c r="E1385" s="14"/>
      <c r="F1385" s="10"/>
      <c r="G1385" s="130"/>
      <c r="H1385" s="7"/>
      <c r="I1385" s="488"/>
      <c r="J1385" s="489" t="s">
        <v>346</v>
      </c>
      <c r="K1385" s="14">
        <f>SUM(K1375:K1384)</f>
        <v>179.20908937402854</v>
      </c>
      <c r="L1385" s="473" t="s">
        <v>8</v>
      </c>
      <c r="M1385" s="1146"/>
      <c r="N1385" s="1103"/>
      <c r="O1385"/>
      <c r="P1385" s="159"/>
      <c r="Q1385" s="147"/>
      <c r="T1385" s="149"/>
    </row>
    <row r="1386" spans="1:24" ht="30" customHeight="1">
      <c r="A1386" s="20"/>
      <c r="B1386" s="157"/>
      <c r="C1386" s="157"/>
      <c r="D1386" s="157"/>
      <c r="E1386" s="153"/>
      <c r="F1386" s="1174" t="s">
        <v>308</v>
      </c>
      <c r="G1386" s="1208" t="s">
        <v>309</v>
      </c>
      <c r="H1386" s="1208"/>
      <c r="I1386" s="1208"/>
      <c r="J1386" s="1208"/>
      <c r="K1386" s="123">
        <v>1.06</v>
      </c>
      <c r="L1386" s="10"/>
      <c r="M1386" s="1146"/>
      <c r="N1386" s="1103"/>
      <c r="O1386"/>
      <c r="P1386" s="159"/>
      <c r="Q1386" s="147"/>
      <c r="T1386" s="149"/>
    </row>
    <row r="1387" spans="1:24" ht="30" customHeight="1">
      <c r="A1387" s="20"/>
      <c r="B1387" s="157"/>
      <c r="C1387" s="157"/>
      <c r="D1387" s="157"/>
      <c r="E1387" s="153"/>
      <c r="F1387" s="1175"/>
      <c r="G1387" s="1209" t="s">
        <v>310</v>
      </c>
      <c r="H1387" s="1209"/>
      <c r="I1387" s="1209"/>
      <c r="J1387" s="1209"/>
      <c r="K1387" s="123">
        <v>1.07</v>
      </c>
      <c r="L1387" s="10"/>
      <c r="M1387" s="1146"/>
      <c r="N1387" s="1103"/>
      <c r="O1387"/>
      <c r="P1387" s="159"/>
      <c r="Q1387" s="147"/>
      <c r="T1387" s="149"/>
    </row>
    <row r="1388" spans="1:24" ht="30" customHeight="1">
      <c r="A1388" s="10"/>
      <c r="B1388" s="13"/>
      <c r="C1388" s="13"/>
      <c r="D1388" s="13"/>
      <c r="E1388" s="13"/>
      <c r="F1388" s="13"/>
      <c r="G1388" s="1474" t="s">
        <v>385</v>
      </c>
      <c r="H1388" s="1475"/>
      <c r="I1388" s="1476"/>
      <c r="J1388" s="139">
        <f>VLOOKUP(B1373,'Mil Cost Premiums for RUCs'!$A$4:$R$266,18,FALSE)</f>
        <v>1.1932356231980656</v>
      </c>
      <c r="K1388" s="115">
        <f>+K1385*K1386/K1387*J1388</f>
        <v>211.8401772042013</v>
      </c>
      <c r="L1388" s="473" t="s">
        <v>8</v>
      </c>
      <c r="M1388" s="1146"/>
      <c r="N1388" s="1103"/>
      <c r="O1388"/>
      <c r="P1388" s="159"/>
      <c r="Q1388" s="147"/>
    </row>
    <row r="1389" spans="1:24" ht="60" customHeight="1">
      <c r="A1389" s="1336" t="s">
        <v>313</v>
      </c>
      <c r="B1389" s="1315"/>
      <c r="C1389" s="1315"/>
      <c r="D1389" s="1315"/>
      <c r="E1389" s="1315"/>
      <c r="F1389" s="1315"/>
      <c r="G1389" s="1315"/>
      <c r="H1389" s="1315"/>
      <c r="I1389" s="1315"/>
      <c r="J1389" s="1315"/>
      <c r="K1389" s="1315"/>
      <c r="L1389" s="1316"/>
      <c r="M1389" s="1146"/>
      <c r="N1389" s="1103"/>
      <c r="O1389"/>
      <c r="P1389" s="159"/>
      <c r="Q1389" s="147"/>
      <c r="R1389" s="149"/>
    </row>
    <row r="1390" spans="1:24" ht="60" customHeight="1">
      <c r="A1390" s="1513" t="s">
        <v>314</v>
      </c>
      <c r="B1390" s="1514"/>
      <c r="C1390" s="1515"/>
      <c r="D1390" s="1336" t="s">
        <v>1093</v>
      </c>
      <c r="E1390" s="1315"/>
      <c r="F1390" s="1315"/>
      <c r="G1390" s="1315"/>
      <c r="H1390" s="1315"/>
      <c r="I1390" s="1315"/>
      <c r="J1390" s="1315"/>
      <c r="K1390" s="1315"/>
      <c r="L1390" s="1316"/>
      <c r="M1390" s="1146"/>
      <c r="N1390" s="1103"/>
      <c r="O1390"/>
      <c r="P1390" s="159"/>
      <c r="Q1390" s="147"/>
      <c r="R1390" s="149"/>
    </row>
    <row r="1391" spans="1:24" ht="105" customHeight="1">
      <c r="A1391" s="1513" t="s">
        <v>316</v>
      </c>
      <c r="B1391" s="1514"/>
      <c r="C1391" s="1515"/>
      <c r="D1391" s="1336" t="s">
        <v>1094</v>
      </c>
      <c r="E1391" s="1315"/>
      <c r="F1391" s="1315"/>
      <c r="G1391" s="1315"/>
      <c r="H1391" s="1315"/>
      <c r="I1391" s="1315"/>
      <c r="J1391" s="1315"/>
      <c r="K1391" s="1315"/>
      <c r="L1391" s="1316"/>
      <c r="M1391" s="1146"/>
      <c r="N1391" s="1103"/>
      <c r="O1391"/>
      <c r="P1391" s="159"/>
      <c r="Q1391" s="147"/>
      <c r="R1391" s="149"/>
      <c r="T1391" s="38"/>
      <c r="U1391" s="38"/>
      <c r="V1391" s="38"/>
      <c r="W1391" s="38"/>
      <c r="X1391" s="38"/>
    </row>
    <row r="1392" spans="1:24" s="38" customFormat="1" ht="30" customHeight="1">
      <c r="A1392" s="1513" t="s">
        <v>317</v>
      </c>
      <c r="B1392" s="1514"/>
      <c r="C1392" s="1515"/>
      <c r="D1392" s="1336" t="s">
        <v>2655</v>
      </c>
      <c r="E1392" s="1315"/>
      <c r="F1392" s="1315"/>
      <c r="G1392" s="1315"/>
      <c r="H1392" s="1315"/>
      <c r="I1392" s="1315"/>
      <c r="J1392" s="1315"/>
      <c r="K1392" s="1315"/>
      <c r="L1392" s="1316"/>
      <c r="M1392" s="1146"/>
      <c r="N1392" s="1103"/>
      <c r="P1392" s="159"/>
      <c r="Q1392" s="147"/>
      <c r="R1392" s="149"/>
      <c r="T1392"/>
      <c r="U1392"/>
      <c r="V1392"/>
      <c r="W1392"/>
      <c r="X1392"/>
    </row>
    <row r="1393" spans="1:20" ht="45" customHeight="1">
      <c r="A1393" s="1516" t="s">
        <v>318</v>
      </c>
      <c r="B1393" s="1517"/>
      <c r="C1393" s="1518"/>
      <c r="D1393" s="1337" t="s">
        <v>1095</v>
      </c>
      <c r="E1393" s="1338"/>
      <c r="F1393" s="1338"/>
      <c r="G1393" s="1338"/>
      <c r="H1393" s="1338"/>
      <c r="I1393" s="1338"/>
      <c r="J1393" s="1338"/>
      <c r="K1393" s="1338"/>
      <c r="L1393" s="1339"/>
      <c r="M1393" s="1146"/>
      <c r="N1393" s="995"/>
      <c r="O1393"/>
      <c r="P1393" s="159"/>
      <c r="Q1393" s="147"/>
      <c r="R1393" s="149"/>
    </row>
    <row r="1394" spans="1:20" ht="60" customHeight="1">
      <c r="A1394" s="1516" t="s">
        <v>320</v>
      </c>
      <c r="B1394" s="1517"/>
      <c r="C1394" s="1518"/>
      <c r="D1394" s="1337" t="s">
        <v>1096</v>
      </c>
      <c r="E1394" s="1338"/>
      <c r="F1394" s="1338"/>
      <c r="G1394" s="1338"/>
      <c r="H1394" s="1338"/>
      <c r="I1394" s="1338"/>
      <c r="J1394" s="1338"/>
      <c r="K1394" s="1338"/>
      <c r="L1394" s="1339"/>
      <c r="M1394" s="1146"/>
      <c r="N1394" s="996"/>
      <c r="O1394"/>
      <c r="P1394" s="159"/>
      <c r="Q1394" s="147"/>
      <c r="R1394" s="149"/>
    </row>
    <row r="1395" spans="1:20" ht="30" customHeight="1">
      <c r="A1395" s="1516" t="s">
        <v>322</v>
      </c>
      <c r="B1395" s="1517"/>
      <c r="C1395" s="1518"/>
      <c r="D1395" s="1337" t="s">
        <v>1097</v>
      </c>
      <c r="E1395" s="1338"/>
      <c r="F1395" s="1338"/>
      <c r="G1395" s="1338"/>
      <c r="H1395" s="1338"/>
      <c r="I1395" s="1338"/>
      <c r="J1395" s="1338"/>
      <c r="K1395" s="1338"/>
      <c r="L1395" s="1339"/>
      <c r="M1395" s="1146"/>
      <c r="N1395" s="1103"/>
      <c r="O1395"/>
      <c r="P1395" s="159"/>
      <c r="Q1395" s="147"/>
      <c r="R1395" s="149"/>
    </row>
    <row r="1396" spans="1:20" ht="30" customHeight="1">
      <c r="A1396" s="1516" t="s">
        <v>324</v>
      </c>
      <c r="B1396" s="1517"/>
      <c r="C1396" s="1518"/>
      <c r="D1396" s="1337" t="s">
        <v>710</v>
      </c>
      <c r="E1396" s="1338"/>
      <c r="F1396" s="1338"/>
      <c r="G1396" s="1338"/>
      <c r="H1396" s="1338"/>
      <c r="I1396" s="1338"/>
      <c r="J1396" s="1338"/>
      <c r="K1396" s="1338"/>
      <c r="L1396" s="1339"/>
      <c r="M1396" s="1146"/>
      <c r="N1396" s="1103"/>
      <c r="O1396"/>
      <c r="P1396" s="159"/>
      <c r="Q1396" s="147"/>
      <c r="R1396" s="149"/>
    </row>
    <row r="1397" spans="1:20" ht="60" customHeight="1">
      <c r="A1397" s="1516" t="s">
        <v>325</v>
      </c>
      <c r="B1397" s="1517"/>
      <c r="C1397" s="1518"/>
      <c r="D1397" s="1522" t="s">
        <v>1098</v>
      </c>
      <c r="E1397" s="1523"/>
      <c r="F1397" s="1523"/>
      <c r="G1397" s="1523"/>
      <c r="H1397" s="1523"/>
      <c r="I1397" s="1523"/>
      <c r="J1397" s="1523"/>
      <c r="K1397" s="1523"/>
      <c r="L1397" s="1524"/>
      <c r="M1397" s="1146"/>
      <c r="N1397" s="405"/>
      <c r="O1397"/>
      <c r="P1397" s="159"/>
      <c r="Q1397" s="147"/>
      <c r="R1397" s="149"/>
    </row>
    <row r="1398" spans="1:20" ht="90" customHeight="1" thickBot="1">
      <c r="A1398" s="1516" t="s">
        <v>327</v>
      </c>
      <c r="B1398" s="1517"/>
      <c r="C1398" s="1518"/>
      <c r="D1398" s="1336" t="s">
        <v>2925</v>
      </c>
      <c r="E1398" s="1315"/>
      <c r="F1398" s="1315"/>
      <c r="G1398" s="1315"/>
      <c r="H1398" s="1315"/>
      <c r="I1398" s="1315"/>
      <c r="J1398" s="1315"/>
      <c r="K1398" s="1315"/>
      <c r="L1398" s="1316"/>
      <c r="M1398" s="1146"/>
      <c r="N1398" s="405"/>
      <c r="O1398"/>
      <c r="P1398" s="159"/>
      <c r="Q1398" s="147"/>
      <c r="R1398" s="149"/>
    </row>
    <row r="1399" spans="1:20" ht="30" customHeight="1" thickBot="1">
      <c r="A1399" s="1165"/>
      <c r="B1399" s="1166"/>
      <c r="C1399" s="1166"/>
      <c r="D1399" s="1166"/>
      <c r="E1399" s="1166"/>
      <c r="F1399" s="1166"/>
      <c r="G1399" s="1166"/>
      <c r="H1399" s="1166"/>
      <c r="I1399" s="1166"/>
      <c r="J1399" s="1166"/>
      <c r="K1399" s="1166"/>
      <c r="L1399" s="1167"/>
      <c r="M1399" s="1146"/>
      <c r="N1399" s="1103"/>
      <c r="O1399"/>
      <c r="P1399" s="159"/>
      <c r="Q1399" s="147"/>
      <c r="R1399" s="149"/>
    </row>
    <row r="1400" spans="1:20" ht="30" customHeight="1">
      <c r="A1400" s="81" t="s">
        <v>280</v>
      </c>
      <c r="B1400" s="82">
        <v>2154</v>
      </c>
      <c r="C1400" s="1519" t="s">
        <v>1099</v>
      </c>
      <c r="D1400" s="1519"/>
      <c r="E1400" s="74" t="s">
        <v>282</v>
      </c>
      <c r="F1400" s="75" t="s">
        <v>8</v>
      </c>
      <c r="G1400" s="58" t="s">
        <v>290</v>
      </c>
      <c r="H1400" s="492">
        <v>11273</v>
      </c>
      <c r="I1400" s="74" t="s">
        <v>283</v>
      </c>
      <c r="J1400" s="1409" t="s">
        <v>2529</v>
      </c>
      <c r="K1400" s="1409"/>
      <c r="L1400" s="1410"/>
      <c r="M1400" s="1146"/>
      <c r="N1400" s="1103"/>
      <c r="O1400"/>
      <c r="P1400" s="159"/>
      <c r="Q1400" s="147"/>
      <c r="R1400" s="149"/>
    </row>
    <row r="1401" spans="1:20" ht="30" customHeight="1">
      <c r="A1401" s="79" t="s">
        <v>304</v>
      </c>
      <c r="B1401" s="1520" t="s">
        <v>330</v>
      </c>
      <c r="C1401" s="1520"/>
      <c r="D1401" s="1520"/>
      <c r="E1401" s="79" t="s">
        <v>295</v>
      </c>
      <c r="F1401" s="79" t="s">
        <v>331</v>
      </c>
      <c r="G1401" s="1521" t="s">
        <v>332</v>
      </c>
      <c r="H1401" s="1521"/>
      <c r="I1401" s="77" t="s">
        <v>305</v>
      </c>
      <c r="J1401" s="77"/>
      <c r="K1401" s="1206" t="s">
        <v>297</v>
      </c>
      <c r="L1401" s="1207"/>
      <c r="M1401" s="1146"/>
      <c r="N1401" s="1103"/>
      <c r="O1401"/>
      <c r="P1401" s="159"/>
      <c r="Q1401" s="147"/>
      <c r="R1401" s="149"/>
    </row>
    <row r="1402" spans="1:20" ht="45" customHeight="1">
      <c r="A1402" s="20" t="s">
        <v>459</v>
      </c>
      <c r="B1402" s="1513" t="s">
        <v>2557</v>
      </c>
      <c r="C1402" s="1514"/>
      <c r="D1402" s="1515"/>
      <c r="E1402" s="153">
        <f>154-2.36</f>
        <v>151.63999999999999</v>
      </c>
      <c r="F1402" s="20" t="s">
        <v>8</v>
      </c>
      <c r="G1402" s="206"/>
      <c r="H1402" s="20"/>
      <c r="I1402" s="20">
        <v>1.05</v>
      </c>
      <c r="J1402" s="20"/>
      <c r="K1402" s="153">
        <f>+E1402*I1402</f>
        <v>159.22199999999998</v>
      </c>
      <c r="L1402" s="20" t="s">
        <v>8</v>
      </c>
      <c r="M1402" s="1146"/>
      <c r="N1402" s="1103"/>
      <c r="O1402"/>
      <c r="P1402" s="159"/>
      <c r="Q1402" s="147"/>
      <c r="R1402" s="149"/>
    </row>
    <row r="1403" spans="1:20" ht="30" customHeight="1">
      <c r="A1403" s="20" t="s">
        <v>461</v>
      </c>
      <c r="B1403" s="1224" t="s">
        <v>1101</v>
      </c>
      <c r="C1403" s="1224"/>
      <c r="D1403" s="1224"/>
      <c r="E1403" s="23">
        <v>132000</v>
      </c>
      <c r="F1403" s="20" t="s">
        <v>10</v>
      </c>
      <c r="G1403" s="493">
        <f>+H1400</f>
        <v>11273</v>
      </c>
      <c r="H1403" s="329" t="s">
        <v>1102</v>
      </c>
      <c r="I1403" s="20">
        <v>1.07</v>
      </c>
      <c r="J1403" s="20"/>
      <c r="K1403" s="153">
        <f>+(E1403/G1403)*I1403</f>
        <v>12.529051716490731</v>
      </c>
      <c r="L1403" s="20" t="s">
        <v>8</v>
      </c>
      <c r="M1403" s="1146"/>
      <c r="N1403" s="1103"/>
      <c r="O1403"/>
      <c r="P1403" s="159"/>
      <c r="Q1403" s="147"/>
      <c r="R1403" s="149"/>
    </row>
    <row r="1404" spans="1:20" ht="30" customHeight="1">
      <c r="A1404" s="20" t="s">
        <v>377</v>
      </c>
      <c r="B1404" s="1224" t="s">
        <v>1103</v>
      </c>
      <c r="C1404" s="1224"/>
      <c r="D1404" s="1224"/>
      <c r="E1404" s="153">
        <v>3.81</v>
      </c>
      <c r="F1404" s="20" t="s">
        <v>8</v>
      </c>
      <c r="G1404" s="395"/>
      <c r="H1404" s="329"/>
      <c r="I1404" s="20">
        <v>1.05</v>
      </c>
      <c r="J1404" s="20"/>
      <c r="K1404" s="153">
        <f>+E1404*I1404</f>
        <v>4.0005000000000006</v>
      </c>
      <c r="L1404" s="20" t="s">
        <v>8</v>
      </c>
      <c r="M1404" s="1146"/>
      <c r="N1404" s="1103"/>
      <c r="O1404"/>
      <c r="P1404" s="159"/>
      <c r="Q1404" s="147"/>
      <c r="R1404" s="149"/>
    </row>
    <row r="1405" spans="1:20" ht="30" customHeight="1">
      <c r="A1405" s="20"/>
      <c r="B1405" s="1224" t="s">
        <v>2658</v>
      </c>
      <c r="C1405" s="1224"/>
      <c r="D1405" s="1224"/>
      <c r="E1405" s="153"/>
      <c r="F1405" s="20"/>
      <c r="G1405" s="395"/>
      <c r="H1405" s="329"/>
      <c r="I1405" s="20"/>
      <c r="J1405" s="20" t="s">
        <v>346</v>
      </c>
      <c r="K1405" s="153">
        <f>SUM(K1402:K1404)</f>
        <v>175.7515517164907</v>
      </c>
      <c r="L1405" s="20" t="s">
        <v>8</v>
      </c>
      <c r="M1405" s="1146"/>
      <c r="N1405" s="1103"/>
      <c r="O1405"/>
      <c r="P1405" s="159"/>
      <c r="Q1405" s="147"/>
      <c r="R1405" s="149"/>
    </row>
    <row r="1406" spans="1:20" ht="30" customHeight="1">
      <c r="A1406" s="20"/>
      <c r="B1406" s="1179"/>
      <c r="C1406" s="1180"/>
      <c r="D1406" s="1181"/>
      <c r="E1406" s="153"/>
      <c r="F1406" s="1174" t="s">
        <v>308</v>
      </c>
      <c r="G1406" s="1208" t="s">
        <v>309</v>
      </c>
      <c r="H1406" s="1208"/>
      <c r="I1406" s="1208"/>
      <c r="J1406" s="1208"/>
      <c r="K1406" s="123">
        <v>1.06</v>
      </c>
      <c r="L1406" s="10"/>
      <c r="M1406" s="1146"/>
      <c r="N1406" s="1103"/>
      <c r="O1406"/>
      <c r="P1406" s="159"/>
      <c r="Q1406" s="147"/>
      <c r="R1406" s="149"/>
    </row>
    <row r="1407" spans="1:20" ht="30" customHeight="1">
      <c r="A1407" s="20"/>
      <c r="B1407" s="157"/>
      <c r="C1407" s="157"/>
      <c r="D1407" s="157"/>
      <c r="E1407" s="153"/>
      <c r="F1407" s="1175"/>
      <c r="G1407" s="1209" t="s">
        <v>310</v>
      </c>
      <c r="H1407" s="1209"/>
      <c r="I1407" s="1209"/>
      <c r="J1407" s="1209"/>
      <c r="K1407" s="123">
        <v>1.07</v>
      </c>
      <c r="L1407" s="10"/>
      <c r="M1407" s="1146"/>
      <c r="N1407" s="1103"/>
      <c r="O1407"/>
      <c r="P1407" s="159"/>
      <c r="Q1407" s="147"/>
      <c r="R1407" s="149"/>
      <c r="T1407" s="149"/>
    </row>
    <row r="1408" spans="1:20" ht="30" customHeight="1">
      <c r="A1408" s="20"/>
      <c r="B1408" s="20"/>
      <c r="C1408" s="18"/>
      <c r="D1408" s="18"/>
      <c r="E1408" s="18"/>
      <c r="F1408" s="18"/>
      <c r="G1408" s="18"/>
      <c r="H1408" s="18"/>
      <c r="I1408" s="18"/>
      <c r="J1408" s="18" t="s">
        <v>289</v>
      </c>
      <c r="K1408" s="23">
        <f>+K1405*K1406/K1407</f>
        <v>174.10901384998144</v>
      </c>
      <c r="L1408" s="20" t="s">
        <v>8</v>
      </c>
      <c r="M1408" s="1146"/>
      <c r="N1408" s="1103"/>
      <c r="O1408"/>
      <c r="P1408" s="159"/>
      <c r="Q1408" s="147"/>
      <c r="T1408" s="149"/>
    </row>
    <row r="1409" spans="1:24" ht="30" customHeight="1" thickBot="1">
      <c r="A1409" s="20"/>
      <c r="B1409" s="20"/>
      <c r="C1409" s="18"/>
      <c r="D1409" s="18"/>
      <c r="E1409" s="18"/>
      <c r="F1409" s="18"/>
      <c r="G1409" s="160" t="s">
        <v>312</v>
      </c>
      <c r="H1409" s="18"/>
      <c r="I1409" s="18"/>
      <c r="J1409" s="139">
        <f>VLOOKUP(B1400,'Mil Cost Premiums for RUCs'!$A$4:$R$266,18,FALSE)</f>
        <v>1.1561386038173773</v>
      </c>
      <c r="K1409" s="23">
        <f>+K1408*J1409</f>
        <v>201.29415218453795</v>
      </c>
      <c r="L1409" s="20" t="s">
        <v>8</v>
      </c>
      <c r="M1409" s="1146"/>
      <c r="N1409" s="1103"/>
      <c r="O1409"/>
      <c r="P1409" s="159"/>
      <c r="Q1409" s="147"/>
      <c r="T1409" s="149"/>
    </row>
    <row r="1410" spans="1:24" ht="30" customHeight="1" thickBot="1">
      <c r="A1410" s="1165"/>
      <c r="B1410" s="1166"/>
      <c r="C1410" s="1166"/>
      <c r="D1410" s="1166"/>
      <c r="E1410" s="1166"/>
      <c r="F1410" s="1166"/>
      <c r="G1410" s="1166"/>
      <c r="H1410" s="1166"/>
      <c r="I1410" s="1166"/>
      <c r="J1410" s="1166"/>
      <c r="K1410" s="1166"/>
      <c r="L1410" s="1167"/>
      <c r="M1410" s="1146"/>
      <c r="N1410" s="1103"/>
      <c r="O1410"/>
      <c r="P1410" s="159"/>
      <c r="Q1410" s="147"/>
      <c r="T1410" s="149"/>
      <c r="U1410" s="38"/>
      <c r="V1410" s="38"/>
      <c r="W1410" s="38"/>
      <c r="X1410" s="38"/>
    </row>
    <row r="1411" spans="1:24" s="38" customFormat="1" ht="30" customHeight="1">
      <c r="A1411" s="162" t="s">
        <v>280</v>
      </c>
      <c r="B1411" s="163">
        <v>2161</v>
      </c>
      <c r="C1411" s="1290" t="s">
        <v>1104</v>
      </c>
      <c r="D1411" s="1291"/>
      <c r="E1411" s="216" t="s">
        <v>282</v>
      </c>
      <c r="F1411" s="217" t="s">
        <v>8</v>
      </c>
      <c r="G1411" s="58" t="s">
        <v>290</v>
      </c>
      <c r="H1411" s="218">
        <v>8011</v>
      </c>
      <c r="I1411" s="216" t="s">
        <v>283</v>
      </c>
      <c r="J1411" s="1409" t="s">
        <v>2529</v>
      </c>
      <c r="K1411" s="1409"/>
      <c r="L1411" s="1410"/>
      <c r="M1411" s="1146"/>
      <c r="N1411" s="1103"/>
      <c r="P1411" s="159"/>
      <c r="Q1411" s="147"/>
      <c r="T1411" s="149"/>
      <c r="U1411"/>
      <c r="V1411"/>
      <c r="W1411"/>
      <c r="X1411"/>
    </row>
    <row r="1412" spans="1:24" ht="30" customHeight="1">
      <c r="A1412" s="165" t="s">
        <v>304</v>
      </c>
      <c r="B1412" s="1324" t="s">
        <v>330</v>
      </c>
      <c r="C1412" s="1325"/>
      <c r="D1412" s="1326"/>
      <c r="E1412" s="219" t="s">
        <v>295</v>
      </c>
      <c r="F1412" s="219" t="s">
        <v>331</v>
      </c>
      <c r="G1412" s="1327" t="s">
        <v>332</v>
      </c>
      <c r="H1412" s="1328"/>
      <c r="I1412" s="167" t="s">
        <v>305</v>
      </c>
      <c r="J1412" s="167"/>
      <c r="K1412" s="1206" t="s">
        <v>297</v>
      </c>
      <c r="L1412" s="1207"/>
      <c r="M1412" s="1146"/>
      <c r="N1412" s="1103"/>
      <c r="O1412"/>
      <c r="P1412" s="159"/>
      <c r="Q1412" s="147"/>
      <c r="T1412" s="149"/>
    </row>
    <row r="1413" spans="1:24" ht="45" customHeight="1">
      <c r="A1413" s="10" t="s">
        <v>459</v>
      </c>
      <c r="B1413" s="1513" t="s">
        <v>1100</v>
      </c>
      <c r="C1413" s="1514"/>
      <c r="D1413" s="1515"/>
      <c r="E1413" s="115">
        <f>154-2.36</f>
        <v>151.63999999999999</v>
      </c>
      <c r="F1413" s="10" t="s">
        <v>8</v>
      </c>
      <c r="G1413" s="494"/>
      <c r="H1413" s="10"/>
      <c r="I1413" s="10">
        <v>1.05</v>
      </c>
      <c r="J1413" s="10"/>
      <c r="K1413" s="115">
        <f>+E1413*I1413</f>
        <v>159.22199999999998</v>
      </c>
      <c r="L1413" s="10" t="s">
        <v>8</v>
      </c>
      <c r="M1413" s="1146"/>
      <c r="N1413" s="1103"/>
      <c r="O1413"/>
      <c r="P1413" s="159"/>
      <c r="Q1413" s="147"/>
      <c r="T1413" s="149"/>
    </row>
    <row r="1414" spans="1:24" ht="30" customHeight="1">
      <c r="A1414" s="10" t="s">
        <v>461</v>
      </c>
      <c r="B1414" s="1162" t="s">
        <v>1105</v>
      </c>
      <c r="C1414" s="1163"/>
      <c r="D1414" s="1164"/>
      <c r="E1414" s="12">
        <v>118000</v>
      </c>
      <c r="F1414" s="495" t="s">
        <v>1106</v>
      </c>
      <c r="G1414" s="496">
        <f>+H1411</f>
        <v>8011</v>
      </c>
      <c r="H1414" s="403" t="s">
        <v>1102</v>
      </c>
      <c r="I1414" s="10">
        <v>1.02</v>
      </c>
      <c r="J1414" s="10"/>
      <c r="K1414" s="115">
        <f>+(E1414)/H1411*I1414</f>
        <v>15.024341530395706</v>
      </c>
      <c r="L1414" s="10" t="s">
        <v>8</v>
      </c>
      <c r="M1414" s="1146"/>
      <c r="N1414" s="1103"/>
      <c r="O1414"/>
      <c r="P1414" s="159"/>
      <c r="Q1414" s="147"/>
      <c r="T1414" s="149"/>
    </row>
    <row r="1415" spans="1:24" ht="30" customHeight="1">
      <c r="A1415" s="10" t="s">
        <v>1066</v>
      </c>
      <c r="B1415" s="1162" t="s">
        <v>1107</v>
      </c>
      <c r="C1415" s="1163"/>
      <c r="D1415" s="1164"/>
      <c r="E1415" s="14">
        <v>40.5</v>
      </c>
      <c r="F1415" s="10" t="s">
        <v>1108</v>
      </c>
      <c r="G1415" s="463">
        <f>144/H1411</f>
        <v>1.7975283984521282E-2</v>
      </c>
      <c r="H1415" s="403" t="s">
        <v>1109</v>
      </c>
      <c r="I1415" s="10">
        <v>1.05</v>
      </c>
      <c r="J1415" s="10"/>
      <c r="K1415" s="115">
        <f>+E1415*G1415*I1415</f>
        <v>0.7643989514417675</v>
      </c>
      <c r="L1415" s="10" t="s">
        <v>8</v>
      </c>
      <c r="M1415" s="1146"/>
      <c r="O1415"/>
      <c r="P1415" s="159"/>
      <c r="Q1415" s="147"/>
      <c r="T1415" s="149"/>
    </row>
    <row r="1416" spans="1:24" ht="30" customHeight="1">
      <c r="A1416" s="10" t="s">
        <v>377</v>
      </c>
      <c r="B1416" s="1162" t="s">
        <v>1110</v>
      </c>
      <c r="C1416" s="1163"/>
      <c r="D1416" s="1164"/>
      <c r="E1416" s="115">
        <v>3.53</v>
      </c>
      <c r="F1416" s="401" t="s">
        <v>8</v>
      </c>
      <c r="G1416" s="402"/>
      <c r="H1416" s="403"/>
      <c r="I1416" s="10">
        <v>1.05</v>
      </c>
      <c r="J1416" s="10"/>
      <c r="K1416" s="115">
        <f>+E1416*I1416</f>
        <v>3.7065000000000001</v>
      </c>
      <c r="L1416" s="10" t="s">
        <v>8</v>
      </c>
      <c r="M1416" s="1146"/>
      <c r="N1416" s="1103"/>
      <c r="O1416"/>
      <c r="P1416" s="159"/>
      <c r="Q1416" s="147"/>
      <c r="T1416" s="149"/>
    </row>
    <row r="1417" spans="1:24" ht="30" customHeight="1">
      <c r="A1417" s="10" t="s">
        <v>377</v>
      </c>
      <c r="B1417" s="1162" t="s">
        <v>1111</v>
      </c>
      <c r="C1417" s="1163"/>
      <c r="D1417" s="1164"/>
      <c r="E1417" s="115">
        <f>+E1416*0.15</f>
        <v>0.52949999999999997</v>
      </c>
      <c r="F1417" s="401" t="s">
        <v>8</v>
      </c>
      <c r="G1417" s="402"/>
      <c r="H1417" s="403"/>
      <c r="I1417" s="10">
        <v>1.05</v>
      </c>
      <c r="J1417" s="10"/>
      <c r="K1417" s="115">
        <f>+E1417*I1417</f>
        <v>0.555975</v>
      </c>
      <c r="L1417" s="10" t="s">
        <v>8</v>
      </c>
      <c r="M1417" s="1146"/>
      <c r="N1417" s="1103"/>
      <c r="O1417"/>
      <c r="P1417" s="159"/>
      <c r="Q1417" s="147"/>
      <c r="T1417" s="149"/>
    </row>
    <row r="1418" spans="1:24" ht="30" customHeight="1">
      <c r="A1418" s="10" t="s">
        <v>377</v>
      </c>
      <c r="B1418" s="1162" t="s">
        <v>987</v>
      </c>
      <c r="C1418" s="1163"/>
      <c r="D1418" s="1164"/>
      <c r="E1418" s="14">
        <f xml:space="preserve"> 0.52+((1.03+1.53)/2)</f>
        <v>1.8</v>
      </c>
      <c r="F1418" s="401" t="s">
        <v>8</v>
      </c>
      <c r="G1418" s="402"/>
      <c r="H1418" s="403"/>
      <c r="I1418" s="10">
        <v>1.05</v>
      </c>
      <c r="J1418" s="10"/>
      <c r="K1418" s="115">
        <f>+E1418*I1418</f>
        <v>1.8900000000000001</v>
      </c>
      <c r="L1418" s="10" t="s">
        <v>8</v>
      </c>
      <c r="M1418" s="1146"/>
      <c r="N1418" s="1103"/>
      <c r="O1418"/>
      <c r="P1418" s="159"/>
      <c r="Q1418" s="147"/>
      <c r="T1418" s="149"/>
    </row>
    <row r="1419" spans="1:24" ht="30" customHeight="1">
      <c r="A1419" s="10"/>
      <c r="B1419" s="1162"/>
      <c r="C1419" s="1163"/>
      <c r="D1419" s="1164"/>
      <c r="E1419" s="115"/>
      <c r="F1419" s="10"/>
      <c r="G1419" s="402"/>
      <c r="H1419" s="403"/>
      <c r="I1419" s="10"/>
      <c r="J1419" s="10" t="s">
        <v>346</v>
      </c>
      <c r="K1419" s="115">
        <f>SUM(K1413:K1418)</f>
        <v>181.16321548183743</v>
      </c>
      <c r="L1419" s="10" t="s">
        <v>8</v>
      </c>
      <c r="M1419" s="1146"/>
      <c r="N1419" s="1103"/>
      <c r="O1419"/>
      <c r="P1419" s="159"/>
      <c r="Q1419" s="147"/>
      <c r="T1419" s="149"/>
    </row>
    <row r="1420" spans="1:24" ht="30" customHeight="1">
      <c r="A1420" s="20"/>
      <c r="B1420" s="157"/>
      <c r="C1420" s="157"/>
      <c r="D1420" s="157"/>
      <c r="E1420" s="153"/>
      <c r="F1420" s="1174" t="s">
        <v>308</v>
      </c>
      <c r="G1420" s="1208" t="s">
        <v>309</v>
      </c>
      <c r="H1420" s="1208"/>
      <c r="I1420" s="1208"/>
      <c r="J1420" s="1208"/>
      <c r="K1420" s="123">
        <v>1.06</v>
      </c>
      <c r="L1420" s="10"/>
      <c r="M1420" s="1146"/>
      <c r="N1420" s="1103"/>
      <c r="O1420"/>
      <c r="P1420" s="159"/>
      <c r="Q1420" s="147"/>
      <c r="T1420" s="149"/>
    </row>
    <row r="1421" spans="1:24" ht="30" customHeight="1">
      <c r="A1421" s="20"/>
      <c r="B1421" s="157"/>
      <c r="C1421" s="157"/>
      <c r="D1421" s="157"/>
      <c r="E1421" s="153"/>
      <c r="F1421" s="1175"/>
      <c r="G1421" s="1209" t="s">
        <v>310</v>
      </c>
      <c r="H1421" s="1209"/>
      <c r="I1421" s="1209"/>
      <c r="J1421" s="1209"/>
      <c r="K1421" s="123">
        <v>1.07</v>
      </c>
      <c r="L1421" s="10"/>
      <c r="M1421" s="1146"/>
      <c r="N1421" s="1103"/>
      <c r="O1421"/>
      <c r="P1421" s="159"/>
      <c r="Q1421" s="147"/>
      <c r="T1421" s="149"/>
    </row>
    <row r="1422" spans="1:24" ht="30" customHeight="1">
      <c r="A1422" s="10"/>
      <c r="B1422" s="10"/>
      <c r="C1422" s="13"/>
      <c r="D1422" s="13"/>
      <c r="E1422" s="13"/>
      <c r="F1422" s="13"/>
      <c r="G1422" s="13"/>
      <c r="H1422" s="13"/>
      <c r="I1422" s="13"/>
      <c r="J1422" s="497" t="s">
        <v>289</v>
      </c>
      <c r="K1422" s="14">
        <f>+K1419*K1420/K1421</f>
        <v>179.47010131845576</v>
      </c>
      <c r="L1422" s="10" t="s">
        <v>8</v>
      </c>
      <c r="M1422" s="1146"/>
      <c r="N1422" s="1103"/>
      <c r="O1422"/>
      <c r="P1422" s="159"/>
      <c r="Q1422" s="147"/>
      <c r="T1422" s="149"/>
    </row>
    <row r="1423" spans="1:24" ht="30" customHeight="1" thickBot="1">
      <c r="A1423" s="10"/>
      <c r="B1423" s="10"/>
      <c r="C1423" s="13"/>
      <c r="D1423" s="13"/>
      <c r="E1423" s="13"/>
      <c r="F1423" s="13"/>
      <c r="G1423" s="226"/>
      <c r="H1423" s="13"/>
      <c r="I1423" s="461" t="s">
        <v>385</v>
      </c>
      <c r="J1423" s="139">
        <f>VLOOKUP(B1411,'Mil Cost Premiums for RUCs'!$A$4:$R$266,18,FALSE)</f>
        <v>1.1561386038173773</v>
      </c>
      <c r="K1423" s="14">
        <f>+K1422*J1423</f>
        <v>207.49231236528269</v>
      </c>
      <c r="L1423" s="10" t="s">
        <v>8</v>
      </c>
      <c r="M1423" s="1146"/>
      <c r="N1423" s="1103"/>
      <c r="O1423"/>
      <c r="P1423" s="159"/>
      <c r="Q1423" s="147"/>
      <c r="T1423" s="149"/>
    </row>
    <row r="1424" spans="1:24" ht="30" customHeight="1" thickBot="1">
      <c r="A1424" s="1165"/>
      <c r="B1424" s="1166"/>
      <c r="C1424" s="1166"/>
      <c r="D1424" s="1166"/>
      <c r="E1424" s="1166"/>
      <c r="F1424" s="1166"/>
      <c r="G1424" s="1166"/>
      <c r="H1424" s="1166"/>
      <c r="I1424" s="1166"/>
      <c r="J1424" s="1166"/>
      <c r="K1424" s="1166"/>
      <c r="L1424" s="1167"/>
      <c r="M1424" s="1146"/>
      <c r="N1424" s="1103"/>
      <c r="O1424"/>
      <c r="P1424" s="159"/>
      <c r="Q1424" s="147"/>
      <c r="T1424" s="149"/>
    </row>
    <row r="1425" spans="1:24" ht="30" customHeight="1">
      <c r="A1425" s="162" t="s">
        <v>280</v>
      </c>
      <c r="B1425" s="163">
        <v>2162</v>
      </c>
      <c r="C1425" s="1290" t="s">
        <v>1112</v>
      </c>
      <c r="D1425" s="1291"/>
      <c r="E1425" s="216" t="s">
        <v>282</v>
      </c>
      <c r="F1425" s="217" t="s">
        <v>8</v>
      </c>
      <c r="G1425" s="58" t="s">
        <v>290</v>
      </c>
      <c r="H1425" s="218">
        <v>5448</v>
      </c>
      <c r="I1425" s="216" t="s">
        <v>283</v>
      </c>
      <c r="J1425" s="1409" t="s">
        <v>2529</v>
      </c>
      <c r="K1425" s="1409"/>
      <c r="L1425" s="1410"/>
      <c r="M1425" s="1146"/>
      <c r="N1425" s="1103"/>
      <c r="O1425"/>
      <c r="P1425" s="159"/>
      <c r="Q1425" s="147"/>
      <c r="T1425" s="149"/>
    </row>
    <row r="1426" spans="1:24" ht="30" customHeight="1">
      <c r="A1426" s="165" t="s">
        <v>304</v>
      </c>
      <c r="B1426" s="1324" t="s">
        <v>330</v>
      </c>
      <c r="C1426" s="1325"/>
      <c r="D1426" s="1326"/>
      <c r="E1426" s="219" t="s">
        <v>295</v>
      </c>
      <c r="F1426" s="219" t="s">
        <v>331</v>
      </c>
      <c r="G1426" s="1327" t="s">
        <v>332</v>
      </c>
      <c r="H1426" s="1328"/>
      <c r="I1426" s="167" t="s">
        <v>305</v>
      </c>
      <c r="J1426" s="167"/>
      <c r="K1426" s="1206" t="s">
        <v>297</v>
      </c>
      <c r="L1426" s="1207"/>
      <c r="M1426" s="1146"/>
      <c r="N1426" s="1103"/>
      <c r="O1426"/>
      <c r="P1426" s="159"/>
      <c r="Q1426" s="147"/>
      <c r="T1426" s="149"/>
    </row>
    <row r="1427" spans="1:24" ht="45" customHeight="1">
      <c r="A1427" s="10" t="s">
        <v>459</v>
      </c>
      <c r="B1427" s="1513" t="s">
        <v>2557</v>
      </c>
      <c r="C1427" s="1514"/>
      <c r="D1427" s="1515"/>
      <c r="E1427" s="115">
        <f>154-2.36</f>
        <v>151.63999999999999</v>
      </c>
      <c r="F1427" s="10" t="s">
        <v>8</v>
      </c>
      <c r="G1427" s="494"/>
      <c r="H1427" s="10"/>
      <c r="I1427" s="10">
        <v>1.05</v>
      </c>
      <c r="J1427" s="10"/>
      <c r="K1427" s="115">
        <f>+E1427*I1427</f>
        <v>159.22199999999998</v>
      </c>
      <c r="L1427" s="10" t="s">
        <v>8</v>
      </c>
      <c r="M1427" s="1146"/>
      <c r="N1427" s="1103"/>
      <c r="O1427"/>
      <c r="P1427" s="159"/>
      <c r="Q1427" s="147"/>
      <c r="T1427" s="149"/>
    </row>
    <row r="1428" spans="1:24" ht="30" customHeight="1">
      <c r="A1428" s="10" t="s">
        <v>461</v>
      </c>
      <c r="B1428" s="1162" t="s">
        <v>1101</v>
      </c>
      <c r="C1428" s="1163"/>
      <c r="D1428" s="1164"/>
      <c r="E1428" s="12">
        <v>132000</v>
      </c>
      <c r="F1428" s="495" t="s">
        <v>1106</v>
      </c>
      <c r="G1428" s="498">
        <f>+H1425</f>
        <v>5448</v>
      </c>
      <c r="H1428" s="403" t="s">
        <v>1102</v>
      </c>
      <c r="I1428" s="10">
        <v>1.07</v>
      </c>
      <c r="J1428" s="10"/>
      <c r="K1428" s="115">
        <f>+(E1428)/H1425*I1428</f>
        <v>25.925110132158594</v>
      </c>
      <c r="L1428" s="10" t="s">
        <v>8</v>
      </c>
      <c r="M1428" s="1146"/>
      <c r="N1428" s="1103"/>
      <c r="O1428"/>
      <c r="P1428" s="159"/>
      <c r="Q1428" s="147"/>
      <c r="T1428" s="149"/>
    </row>
    <row r="1429" spans="1:24" ht="30" customHeight="1">
      <c r="A1429" s="10" t="s">
        <v>1066</v>
      </c>
      <c r="B1429" s="1162" t="s">
        <v>1107</v>
      </c>
      <c r="C1429" s="1163"/>
      <c r="D1429" s="1164"/>
      <c r="E1429" s="14">
        <v>40.5</v>
      </c>
      <c r="F1429" s="10" t="s">
        <v>1108</v>
      </c>
      <c r="G1429" s="499">
        <f>144/H1425</f>
        <v>2.643171806167401E-2</v>
      </c>
      <c r="H1429" s="403" t="s">
        <v>1109</v>
      </c>
      <c r="I1429" s="10">
        <v>1.05</v>
      </c>
      <c r="J1429" s="10"/>
      <c r="K1429" s="115">
        <f>+E1429*G1429*I1429</f>
        <v>1.1240088105726873</v>
      </c>
      <c r="L1429" s="10" t="s">
        <v>8</v>
      </c>
      <c r="M1429" s="1146"/>
      <c r="N1429" s="1103"/>
      <c r="O1429"/>
      <c r="P1429" s="159"/>
      <c r="Q1429" s="147"/>
      <c r="T1429" s="149"/>
    </row>
    <row r="1430" spans="1:24" ht="30" customHeight="1">
      <c r="A1430" s="10" t="s">
        <v>377</v>
      </c>
      <c r="B1430" s="1162" t="s">
        <v>1110</v>
      </c>
      <c r="C1430" s="1163"/>
      <c r="D1430" s="1164"/>
      <c r="E1430" s="115">
        <v>3.53</v>
      </c>
      <c r="F1430" s="401" t="s">
        <v>8</v>
      </c>
      <c r="G1430" s="402"/>
      <c r="H1430" s="403"/>
      <c r="I1430" s="10">
        <v>1.05</v>
      </c>
      <c r="J1430" s="10"/>
      <c r="K1430" s="115">
        <f>+E1430*I1430</f>
        <v>3.7065000000000001</v>
      </c>
      <c r="L1430" s="10" t="s">
        <v>8</v>
      </c>
      <c r="M1430" s="1146"/>
      <c r="N1430" s="1103"/>
      <c r="O1430"/>
      <c r="P1430" s="159"/>
      <c r="Q1430" s="147"/>
      <c r="T1430" s="149"/>
    </row>
    <row r="1431" spans="1:24" ht="30" customHeight="1">
      <c r="A1431" s="10" t="s">
        <v>377</v>
      </c>
      <c r="B1431" s="1162" t="s">
        <v>1111</v>
      </c>
      <c r="C1431" s="1163"/>
      <c r="D1431" s="1164"/>
      <c r="E1431" s="115">
        <f>+E1430*0.15</f>
        <v>0.52949999999999997</v>
      </c>
      <c r="F1431" s="401" t="s">
        <v>8</v>
      </c>
      <c r="G1431" s="402"/>
      <c r="H1431" s="403"/>
      <c r="I1431" s="10">
        <v>1.05</v>
      </c>
      <c r="J1431" s="10"/>
      <c r="K1431" s="115">
        <f>+E1431*I1431</f>
        <v>0.555975</v>
      </c>
      <c r="L1431" s="10" t="s">
        <v>8</v>
      </c>
      <c r="M1431" s="1146"/>
      <c r="N1431" s="1103"/>
      <c r="O1431"/>
      <c r="P1431" s="159"/>
      <c r="Q1431" s="147"/>
      <c r="T1431" s="149"/>
    </row>
    <row r="1432" spans="1:24" ht="30" customHeight="1">
      <c r="A1432" s="10" t="s">
        <v>377</v>
      </c>
      <c r="B1432" s="1162" t="s">
        <v>987</v>
      </c>
      <c r="C1432" s="1163"/>
      <c r="D1432" s="1164"/>
      <c r="E1432" s="14">
        <f xml:space="preserve"> 0.52+((1.03+1.53)/2)</f>
        <v>1.8</v>
      </c>
      <c r="F1432" s="401" t="s">
        <v>8</v>
      </c>
      <c r="G1432" s="402"/>
      <c r="H1432" s="403"/>
      <c r="I1432" s="10">
        <v>1.05</v>
      </c>
      <c r="J1432" s="10"/>
      <c r="K1432" s="115">
        <f>+E1432*I1432</f>
        <v>1.8900000000000001</v>
      </c>
      <c r="L1432" s="10" t="s">
        <v>8</v>
      </c>
      <c r="M1432" s="1146"/>
      <c r="N1432" s="1103"/>
      <c r="O1432"/>
      <c r="P1432" s="159"/>
      <c r="Q1432" s="147"/>
      <c r="T1432" s="149"/>
    </row>
    <row r="1433" spans="1:24" ht="30" customHeight="1">
      <c r="A1433" s="10"/>
      <c r="B1433" s="1162"/>
      <c r="C1433" s="1163"/>
      <c r="D1433" s="1164"/>
      <c r="E1433" s="115"/>
      <c r="F1433" s="10"/>
      <c r="G1433" s="402"/>
      <c r="H1433" s="403"/>
      <c r="I1433" s="10"/>
      <c r="J1433" s="10" t="s">
        <v>346</v>
      </c>
      <c r="K1433" s="115">
        <f>SUM(K1427:K1432)</f>
        <v>192.42359394273123</v>
      </c>
      <c r="L1433" s="10" t="s">
        <v>8</v>
      </c>
      <c r="M1433" s="1146"/>
      <c r="N1433" s="1103"/>
      <c r="O1433"/>
      <c r="P1433" s="159"/>
      <c r="Q1433" s="147"/>
      <c r="T1433" s="433"/>
      <c r="U1433" s="26"/>
      <c r="V1433" s="26"/>
      <c r="W1433" s="26"/>
      <c r="X1433" s="26"/>
    </row>
    <row r="1434" spans="1:24" s="26" customFormat="1" ht="30" customHeight="1">
      <c r="A1434" s="20"/>
      <c r="B1434" s="157"/>
      <c r="C1434" s="157"/>
      <c r="D1434" s="157"/>
      <c r="E1434" s="153"/>
      <c r="F1434" s="1174" t="s">
        <v>308</v>
      </c>
      <c r="G1434" s="1208" t="s">
        <v>309</v>
      </c>
      <c r="H1434" s="1208"/>
      <c r="I1434" s="1208"/>
      <c r="J1434" s="1208"/>
      <c r="K1434" s="123">
        <v>1.06</v>
      </c>
      <c r="L1434" s="10"/>
      <c r="M1434" s="1146"/>
      <c r="N1434" s="1101"/>
      <c r="O1434" s="1119"/>
      <c r="P1434" s="432"/>
      <c r="Q1434" s="431"/>
      <c r="R1434" s="1119"/>
      <c r="S1434" s="1119"/>
      <c r="T1434" s="149"/>
      <c r="U1434"/>
      <c r="V1434"/>
      <c r="W1434"/>
      <c r="X1434"/>
    </row>
    <row r="1435" spans="1:24" ht="30" customHeight="1">
      <c r="A1435" s="20"/>
      <c r="B1435" s="157"/>
      <c r="C1435" s="157"/>
      <c r="D1435" s="157"/>
      <c r="E1435" s="153"/>
      <c r="F1435" s="1175"/>
      <c r="G1435" s="1209" t="s">
        <v>310</v>
      </c>
      <c r="H1435" s="1209"/>
      <c r="I1435" s="1209"/>
      <c r="J1435" s="1209"/>
      <c r="K1435" s="123">
        <v>1.07</v>
      </c>
      <c r="L1435" s="10"/>
      <c r="M1435" s="1146"/>
      <c r="N1435" s="1103"/>
      <c r="O1435"/>
      <c r="P1435" s="159"/>
      <c r="Q1435" s="147"/>
      <c r="T1435" s="149"/>
    </row>
    <row r="1436" spans="1:24" ht="30" customHeight="1">
      <c r="A1436" s="10"/>
      <c r="B1436" s="10"/>
      <c r="C1436" s="13"/>
      <c r="D1436" s="13"/>
      <c r="E1436" s="13"/>
      <c r="F1436" s="13"/>
      <c r="G1436" s="13"/>
      <c r="H1436" s="13"/>
      <c r="I1436" s="13"/>
      <c r="J1436" s="497" t="s">
        <v>289</v>
      </c>
      <c r="K1436" s="14">
        <f>+K1433*K1434/K1435</f>
        <v>190.62524259747207</v>
      </c>
      <c r="L1436" s="10" t="s">
        <v>8</v>
      </c>
      <c r="M1436" s="1146"/>
      <c r="N1436" s="1103"/>
      <c r="O1436"/>
      <c r="P1436" s="159"/>
      <c r="Q1436" s="147"/>
      <c r="T1436" s="149"/>
    </row>
    <row r="1437" spans="1:24" ht="30" customHeight="1">
      <c r="A1437" s="10"/>
      <c r="B1437" s="10"/>
      <c r="C1437" s="13"/>
      <c r="D1437" s="13"/>
      <c r="E1437" s="13"/>
      <c r="F1437" s="13"/>
      <c r="G1437" s="226"/>
      <c r="H1437" s="13"/>
      <c r="I1437" s="461" t="s">
        <v>385</v>
      </c>
      <c r="J1437" s="139">
        <f>VLOOKUP(B1425,'Mil Cost Premiums for RUCs'!$A$4:$R$266,18,FALSE)</f>
        <v>1.1561386038173773</v>
      </c>
      <c r="K1437" s="14">
        <f>+K1436*J1437</f>
        <v>220.3892018289902</v>
      </c>
      <c r="L1437" s="10" t="s">
        <v>8</v>
      </c>
      <c r="M1437" s="1146"/>
      <c r="N1437" s="1103"/>
      <c r="O1437"/>
      <c r="P1437" s="159"/>
      <c r="Q1437" s="147"/>
      <c r="T1437" s="149"/>
    </row>
    <row r="1438" spans="1:24" ht="60" customHeight="1">
      <c r="A1438" s="1334" t="s">
        <v>313</v>
      </c>
      <c r="B1438" s="1442"/>
      <c r="C1438" s="1442"/>
      <c r="D1438" s="1442"/>
      <c r="E1438" s="1442"/>
      <c r="F1438" s="1442"/>
      <c r="G1438" s="1442"/>
      <c r="H1438" s="1442"/>
      <c r="I1438" s="1442"/>
      <c r="J1438" s="1442"/>
      <c r="K1438" s="1442"/>
      <c r="L1438" s="1443"/>
      <c r="M1438" s="1146"/>
      <c r="N1438" s="1103"/>
      <c r="O1438"/>
      <c r="P1438" s="159"/>
      <c r="Q1438" s="147"/>
      <c r="T1438" s="149"/>
    </row>
    <row r="1439" spans="1:24" ht="30" customHeight="1">
      <c r="A1439" s="1516" t="s">
        <v>314</v>
      </c>
      <c r="B1439" s="1517"/>
      <c r="C1439" s="1518"/>
      <c r="D1439" s="1270" t="s">
        <v>1113</v>
      </c>
      <c r="E1439" s="1371"/>
      <c r="F1439" s="1371"/>
      <c r="G1439" s="1371"/>
      <c r="H1439" s="1371"/>
      <c r="I1439" s="1371"/>
      <c r="J1439" s="1371"/>
      <c r="K1439" s="1371"/>
      <c r="L1439" s="1372"/>
      <c r="M1439" s="1146"/>
      <c r="N1439" s="972"/>
      <c r="O1439"/>
      <c r="P1439" s="159"/>
      <c r="Q1439" s="147"/>
      <c r="T1439" s="149"/>
      <c r="U1439" s="38"/>
      <c r="V1439" s="38"/>
      <c r="W1439" s="38"/>
      <c r="X1439" s="38"/>
    </row>
    <row r="1440" spans="1:24" s="38" customFormat="1" ht="35.25" customHeight="1">
      <c r="A1440" s="1516" t="s">
        <v>316</v>
      </c>
      <c r="B1440" s="1517"/>
      <c r="C1440" s="1518"/>
      <c r="D1440" s="1270" t="s">
        <v>1030</v>
      </c>
      <c r="E1440" s="1371"/>
      <c r="F1440" s="1371"/>
      <c r="G1440" s="1371"/>
      <c r="H1440" s="1371"/>
      <c r="I1440" s="1371"/>
      <c r="J1440" s="1371"/>
      <c r="K1440" s="1371"/>
      <c r="L1440" s="1372"/>
      <c r="M1440" s="1146"/>
      <c r="N1440" s="1103"/>
      <c r="P1440" s="159"/>
      <c r="Q1440" s="147"/>
      <c r="T1440" s="149"/>
      <c r="U1440"/>
      <c r="V1440"/>
      <c r="W1440"/>
      <c r="X1440"/>
    </row>
    <row r="1441" spans="1:24" ht="35.25" customHeight="1">
      <c r="A1441" s="1516" t="s">
        <v>317</v>
      </c>
      <c r="B1441" s="1517"/>
      <c r="C1441" s="1518"/>
      <c r="D1441" s="1336" t="s">
        <v>2659</v>
      </c>
      <c r="E1441" s="1315"/>
      <c r="F1441" s="1315"/>
      <c r="G1441" s="1315"/>
      <c r="H1441" s="1315"/>
      <c r="I1441" s="1315"/>
      <c r="J1441" s="1315"/>
      <c r="K1441" s="1315"/>
      <c r="L1441" s="1316"/>
      <c r="M1441" s="1146"/>
      <c r="N1441" s="1103"/>
      <c r="O1441"/>
      <c r="P1441" s="159"/>
      <c r="Q1441" s="147"/>
      <c r="T1441" s="149"/>
    </row>
    <row r="1442" spans="1:24" ht="36" customHeight="1">
      <c r="A1442" s="1516" t="s">
        <v>318</v>
      </c>
      <c r="B1442" s="1517"/>
      <c r="C1442" s="1518"/>
      <c r="D1442" s="1270" t="s">
        <v>1031</v>
      </c>
      <c r="E1442" s="1371"/>
      <c r="F1442" s="1371"/>
      <c r="G1442" s="1371"/>
      <c r="H1442" s="1371"/>
      <c r="I1442" s="1371"/>
      <c r="J1442" s="1371"/>
      <c r="K1442" s="1371"/>
      <c r="L1442" s="1372"/>
      <c r="M1442" s="1146"/>
      <c r="N1442" s="1103"/>
      <c r="O1442"/>
      <c r="P1442" s="159"/>
      <c r="Q1442" s="147"/>
      <c r="T1442" s="149"/>
    </row>
    <row r="1443" spans="1:24" ht="30" customHeight="1">
      <c r="A1443" s="1516" t="s">
        <v>320</v>
      </c>
      <c r="B1443" s="1517"/>
      <c r="C1443" s="1518"/>
      <c r="D1443" s="1270" t="s">
        <v>2660</v>
      </c>
      <c r="E1443" s="1371"/>
      <c r="F1443" s="1371"/>
      <c r="G1443" s="1371"/>
      <c r="H1443" s="1371"/>
      <c r="I1443" s="1371"/>
      <c r="J1443" s="1371"/>
      <c r="K1443" s="1371"/>
      <c r="L1443" s="1372"/>
      <c r="M1443" s="1146"/>
      <c r="N1443" s="1103"/>
      <c r="O1443"/>
      <c r="P1443" s="159"/>
      <c r="Q1443" s="147"/>
      <c r="T1443" s="149"/>
    </row>
    <row r="1444" spans="1:24" ht="30" customHeight="1">
      <c r="A1444" s="1516" t="s">
        <v>322</v>
      </c>
      <c r="B1444" s="1517"/>
      <c r="C1444" s="1518"/>
      <c r="D1444" s="1525" t="s">
        <v>1021</v>
      </c>
      <c r="E1444" s="1322"/>
      <c r="F1444" s="1322"/>
      <c r="G1444" s="1322"/>
      <c r="H1444" s="1322"/>
      <c r="I1444" s="1322"/>
      <c r="J1444" s="1322"/>
      <c r="K1444" s="1322"/>
      <c r="L1444" s="1323"/>
      <c r="M1444" s="1146"/>
      <c r="N1444" s="1103"/>
      <c r="O1444"/>
      <c r="P1444" s="159"/>
      <c r="Q1444" s="147"/>
      <c r="T1444" s="149"/>
    </row>
    <row r="1445" spans="1:24" ht="30" customHeight="1">
      <c r="A1445" s="1516" t="s">
        <v>324</v>
      </c>
      <c r="B1445" s="1517"/>
      <c r="C1445" s="1518"/>
      <c r="D1445" s="1525" t="s">
        <v>927</v>
      </c>
      <c r="E1445" s="1322"/>
      <c r="F1445" s="1322"/>
      <c r="G1445" s="1322"/>
      <c r="H1445" s="1322"/>
      <c r="I1445" s="1322"/>
      <c r="J1445" s="1322"/>
      <c r="K1445" s="1322"/>
      <c r="L1445" s="1323"/>
      <c r="M1445" s="1146"/>
      <c r="N1445" s="1103"/>
      <c r="O1445"/>
      <c r="P1445" s="159"/>
      <c r="Q1445" s="147"/>
      <c r="T1445" s="149"/>
    </row>
    <row r="1446" spans="1:24" ht="75" customHeight="1">
      <c r="A1446" s="1516" t="s">
        <v>325</v>
      </c>
      <c r="B1446" s="1517"/>
      <c r="C1446" s="1518"/>
      <c r="D1446" s="1507" t="s">
        <v>1114</v>
      </c>
      <c r="E1446" s="1508"/>
      <c r="F1446" s="1508"/>
      <c r="G1446" s="1508"/>
      <c r="H1446" s="1508"/>
      <c r="I1446" s="1508"/>
      <c r="J1446" s="1508"/>
      <c r="K1446" s="1508"/>
      <c r="L1446" s="1509"/>
      <c r="M1446" s="1146"/>
      <c r="N1446" s="1103"/>
      <c r="O1446"/>
      <c r="P1446" s="159"/>
      <c r="Q1446" s="147"/>
      <c r="T1446" s="149"/>
    </row>
    <row r="1447" spans="1:24" ht="30" customHeight="1" thickBot="1">
      <c r="A1447" s="1516" t="s">
        <v>327</v>
      </c>
      <c r="B1447" s="1517"/>
      <c r="C1447" s="1518"/>
      <c r="D1447" s="1425" t="s">
        <v>2558</v>
      </c>
      <c r="E1447" s="1373"/>
      <c r="F1447" s="1373"/>
      <c r="G1447" s="1373"/>
      <c r="H1447" s="1373"/>
      <c r="I1447" s="1373"/>
      <c r="J1447" s="1373"/>
      <c r="K1447" s="1373"/>
      <c r="L1447" s="1374"/>
      <c r="M1447" s="1146"/>
      <c r="N1447" s="1103"/>
      <c r="O1447"/>
      <c r="P1447" s="159"/>
      <c r="Q1447" s="147"/>
      <c r="T1447" s="149"/>
    </row>
    <row r="1448" spans="1:24" ht="30" customHeight="1" thickBot="1">
      <c r="A1448" s="1165"/>
      <c r="B1448" s="1166"/>
      <c r="C1448" s="1166"/>
      <c r="D1448" s="1166"/>
      <c r="E1448" s="1166"/>
      <c r="F1448" s="1166"/>
      <c r="G1448" s="1166"/>
      <c r="H1448" s="1166"/>
      <c r="I1448" s="1166"/>
      <c r="J1448" s="1166"/>
      <c r="K1448" s="1166"/>
      <c r="L1448" s="1167"/>
      <c r="M1448" s="1146"/>
      <c r="N1448" s="1103"/>
      <c r="O1448"/>
      <c r="P1448" s="159"/>
      <c r="Q1448" s="147"/>
      <c r="T1448" s="149"/>
    </row>
    <row r="1449" spans="1:24" ht="30" customHeight="1">
      <c r="A1449" s="81" t="s">
        <v>280</v>
      </c>
      <c r="B1449" s="82">
        <v>2163</v>
      </c>
      <c r="C1449" s="1526" t="s">
        <v>1115</v>
      </c>
      <c r="D1449" s="1527"/>
      <c r="E1449" s="74" t="s">
        <v>282</v>
      </c>
      <c r="F1449" s="75" t="s">
        <v>8</v>
      </c>
      <c r="G1449" s="58" t="s">
        <v>290</v>
      </c>
      <c r="H1449" s="492">
        <v>46666</v>
      </c>
      <c r="I1449" s="74" t="s">
        <v>283</v>
      </c>
      <c r="J1449" s="1409" t="s">
        <v>2529</v>
      </c>
      <c r="K1449" s="1409"/>
      <c r="L1449" s="1410"/>
      <c r="M1449" s="1146"/>
      <c r="N1449" s="1103"/>
      <c r="O1449"/>
      <c r="P1449" s="159"/>
      <c r="Q1449" s="147"/>
      <c r="T1449" s="149"/>
      <c r="U1449" s="38"/>
      <c r="V1449" s="38"/>
      <c r="W1449" s="38"/>
      <c r="X1449" s="38"/>
    </row>
    <row r="1450" spans="1:24" s="38" customFormat="1" ht="30" customHeight="1">
      <c r="A1450" s="79" t="s">
        <v>304</v>
      </c>
      <c r="B1450" s="1201" t="s">
        <v>330</v>
      </c>
      <c r="C1450" s="1202"/>
      <c r="D1450" s="1203"/>
      <c r="E1450" s="79" t="s">
        <v>295</v>
      </c>
      <c r="F1450" s="79" t="s">
        <v>331</v>
      </c>
      <c r="G1450" s="1303" t="s">
        <v>332</v>
      </c>
      <c r="H1450" s="1304"/>
      <c r="I1450" s="77" t="s">
        <v>305</v>
      </c>
      <c r="J1450" s="77"/>
      <c r="K1450" s="1206" t="s">
        <v>297</v>
      </c>
      <c r="L1450" s="1207"/>
      <c r="M1450" s="1146"/>
      <c r="N1450" s="1103"/>
      <c r="P1450" s="159"/>
      <c r="Q1450" s="147"/>
      <c r="T1450" s="149"/>
      <c r="U1450"/>
      <c r="V1450"/>
      <c r="W1450"/>
      <c r="X1450"/>
    </row>
    <row r="1451" spans="1:24" ht="45" customHeight="1">
      <c r="A1451" s="20" t="s">
        <v>459</v>
      </c>
      <c r="B1451" s="1513" t="s">
        <v>2557</v>
      </c>
      <c r="C1451" s="1514"/>
      <c r="D1451" s="1515"/>
      <c r="E1451" s="115">
        <f>154-2.36</f>
        <v>151.63999999999999</v>
      </c>
      <c r="F1451" s="20" t="s">
        <v>8</v>
      </c>
      <c r="G1451" s="206"/>
      <c r="H1451" s="20"/>
      <c r="I1451" s="20">
        <v>1.05</v>
      </c>
      <c r="J1451" s="20"/>
      <c r="K1451" s="153">
        <f>+E1451*I1451</f>
        <v>159.22199999999998</v>
      </c>
      <c r="L1451" s="20" t="s">
        <v>8</v>
      </c>
      <c r="M1451" s="1146"/>
      <c r="N1451" s="1103"/>
      <c r="O1451"/>
      <c r="P1451" s="159"/>
      <c r="Q1451" s="147"/>
      <c r="T1451" s="149"/>
    </row>
    <row r="1452" spans="1:24" ht="30" customHeight="1">
      <c r="A1452" s="20" t="s">
        <v>461</v>
      </c>
      <c r="B1452" s="1176" t="s">
        <v>2662</v>
      </c>
      <c r="C1452" s="1177"/>
      <c r="D1452" s="1178"/>
      <c r="E1452" s="23">
        <v>166000</v>
      </c>
      <c r="F1452" s="20" t="s">
        <v>1159</v>
      </c>
      <c r="G1452" s="493">
        <f>+H1449</f>
        <v>46666</v>
      </c>
      <c r="H1452" s="329" t="s">
        <v>1102</v>
      </c>
      <c r="I1452" s="20">
        <v>1.07</v>
      </c>
      <c r="J1452" s="20"/>
      <c r="K1452" s="153">
        <f>+(E1452/G1452)*2*I1452</f>
        <v>7.61239446277804</v>
      </c>
      <c r="L1452" s="20" t="s">
        <v>8</v>
      </c>
      <c r="M1452" s="1146"/>
      <c r="N1452" s="1103"/>
      <c r="O1452"/>
      <c r="P1452" s="159"/>
      <c r="Q1452" s="147"/>
      <c r="T1452" s="149"/>
    </row>
    <row r="1453" spans="1:24" ht="30" customHeight="1">
      <c r="A1453" s="20" t="s">
        <v>377</v>
      </c>
      <c r="B1453" s="1176" t="s">
        <v>1103</v>
      </c>
      <c r="C1453" s="1177"/>
      <c r="D1453" s="1178"/>
      <c r="E1453" s="153">
        <v>3.18</v>
      </c>
      <c r="F1453" s="20" t="s">
        <v>8</v>
      </c>
      <c r="G1453" s="395"/>
      <c r="H1453" s="329"/>
      <c r="I1453" s="20">
        <v>1.05</v>
      </c>
      <c r="J1453" s="20"/>
      <c r="K1453" s="153">
        <f>+E1453*I1453</f>
        <v>3.3390000000000004</v>
      </c>
      <c r="L1453" s="20" t="s">
        <v>8</v>
      </c>
      <c r="M1453" s="1146"/>
      <c r="N1453" s="1103"/>
      <c r="O1453"/>
      <c r="P1453" s="159"/>
      <c r="Q1453" s="147"/>
      <c r="T1453" s="149"/>
    </row>
    <row r="1454" spans="1:24" ht="30" customHeight="1">
      <c r="A1454" s="20" t="s">
        <v>377</v>
      </c>
      <c r="B1454" s="1162" t="s">
        <v>1111</v>
      </c>
      <c r="C1454" s="1163"/>
      <c r="D1454" s="1164"/>
      <c r="E1454" s="115">
        <f>+E1453*0.15</f>
        <v>0.47699999999999998</v>
      </c>
      <c r="F1454" s="20"/>
      <c r="G1454" s="395"/>
      <c r="H1454" s="329"/>
      <c r="I1454" s="20">
        <v>1.05</v>
      </c>
      <c r="J1454" s="20"/>
      <c r="K1454" s="153">
        <f>+E1454*I1454</f>
        <v>0.50085000000000002</v>
      </c>
      <c r="L1454" s="20"/>
      <c r="M1454" s="1146"/>
      <c r="N1454" s="1103"/>
      <c r="P1454" s="159"/>
      <c r="Q1454" s="147"/>
      <c r="T1454" s="44"/>
    </row>
    <row r="1455" spans="1:24" ht="30" customHeight="1">
      <c r="A1455" s="20" t="s">
        <v>377</v>
      </c>
      <c r="B1455" s="1162" t="s">
        <v>987</v>
      </c>
      <c r="C1455" s="1163"/>
      <c r="D1455" s="1164"/>
      <c r="E1455" s="14">
        <f xml:space="preserve"> 0.52+((1.03+1.53)/2)</f>
        <v>1.8</v>
      </c>
      <c r="F1455" s="20"/>
      <c r="G1455" s="395"/>
      <c r="H1455" s="329"/>
      <c r="I1455" s="20">
        <v>1.05</v>
      </c>
      <c r="J1455" s="20"/>
      <c r="K1455" s="153">
        <f>+E1455*I1455</f>
        <v>1.8900000000000001</v>
      </c>
      <c r="L1455" s="20"/>
      <c r="M1455" s="1146"/>
      <c r="P1455" s="34"/>
      <c r="Q1455" s="34"/>
      <c r="R1455" s="34"/>
      <c r="S1455" s="44"/>
      <c r="T1455" s="44"/>
      <c r="U1455" s="34"/>
    </row>
    <row r="1456" spans="1:24" ht="30" customHeight="1">
      <c r="A1456" s="20"/>
      <c r="B1456" s="1176" t="s">
        <v>2661</v>
      </c>
      <c r="C1456" s="1177"/>
      <c r="D1456" s="1178"/>
      <c r="E1456" s="153"/>
      <c r="F1456" s="20"/>
      <c r="G1456" s="395"/>
      <c r="H1456" s="329"/>
      <c r="I1456" s="20"/>
      <c r="J1456" s="20" t="s">
        <v>346</v>
      </c>
      <c r="K1456" s="153">
        <f>SUM(K1451:K1455)</f>
        <v>172.56424446277802</v>
      </c>
      <c r="L1456" s="20" t="s">
        <v>8</v>
      </c>
      <c r="M1456" s="1146"/>
      <c r="P1456" s="34"/>
      <c r="Q1456" s="34"/>
      <c r="R1456" s="34"/>
      <c r="S1456" s="44"/>
      <c r="T1456" s="44"/>
      <c r="U1456" s="34"/>
    </row>
    <row r="1457" spans="1:24" ht="30" customHeight="1">
      <c r="A1457" s="20"/>
      <c r="B1457" s="157"/>
      <c r="C1457" s="157"/>
      <c r="D1457" s="157"/>
      <c r="E1457" s="153"/>
      <c r="F1457" s="1174" t="s">
        <v>308</v>
      </c>
      <c r="G1457" s="1171" t="s">
        <v>309</v>
      </c>
      <c r="H1457" s="1172"/>
      <c r="I1457" s="1172"/>
      <c r="J1457" s="1173"/>
      <c r="K1457" s="123">
        <v>1.06</v>
      </c>
      <c r="L1457" s="10"/>
      <c r="M1457" s="1146"/>
      <c r="P1457" s="34"/>
      <c r="Q1457" s="34"/>
      <c r="R1457" s="34"/>
      <c r="S1457" s="44"/>
      <c r="T1457" s="59"/>
      <c r="U1457" s="59"/>
      <c r="V1457" s="59"/>
      <c r="W1457" s="59"/>
      <c r="X1457" s="59"/>
    </row>
    <row r="1458" spans="1:24" s="59" customFormat="1" ht="30" customHeight="1">
      <c r="A1458" s="20"/>
      <c r="B1458" s="157"/>
      <c r="C1458" s="157"/>
      <c r="D1458" s="157"/>
      <c r="E1458" s="153"/>
      <c r="F1458" s="1175"/>
      <c r="G1458" s="1168" t="s">
        <v>310</v>
      </c>
      <c r="H1458" s="1169"/>
      <c r="I1458" s="1169"/>
      <c r="J1458" s="1170"/>
      <c r="K1458" s="123">
        <v>1.07</v>
      </c>
      <c r="L1458" s="10"/>
      <c r="M1458" s="1146"/>
      <c r="N1458" s="226"/>
    </row>
    <row r="1459" spans="1:24" s="59" customFormat="1" ht="30" customHeight="1">
      <c r="A1459" s="20"/>
      <c r="B1459" s="20"/>
      <c r="C1459" s="18"/>
      <c r="D1459" s="18"/>
      <c r="E1459" s="18"/>
      <c r="F1459" s="18"/>
      <c r="G1459" s="18"/>
      <c r="H1459" s="18"/>
      <c r="I1459" s="18"/>
      <c r="J1459" s="18" t="s">
        <v>289</v>
      </c>
      <c r="K1459" s="23">
        <f>+K1456*K1457/K1458</f>
        <v>170.95149451452775</v>
      </c>
      <c r="L1459" s="20" t="s">
        <v>8</v>
      </c>
      <c r="M1459" s="1146"/>
      <c r="N1459" s="226"/>
    </row>
    <row r="1460" spans="1:24" s="59" customFormat="1" ht="30" customHeight="1" thickBot="1">
      <c r="A1460" s="20"/>
      <c r="B1460" s="20"/>
      <c r="C1460" s="18"/>
      <c r="D1460" s="18"/>
      <c r="E1460" s="18"/>
      <c r="F1460" s="18"/>
      <c r="G1460" s="160" t="s">
        <v>312</v>
      </c>
      <c r="H1460" s="18"/>
      <c r="I1460" s="18"/>
      <c r="J1460" s="139">
        <f>VLOOKUP(B1449,'Mil Cost Premiums for RUCs'!$A$4:$R$266,18,FALSE)</f>
        <v>1.1561386038173773</v>
      </c>
      <c r="K1460" s="23">
        <f>+K1459*J1460</f>
        <v>197.64362218852014</v>
      </c>
      <c r="L1460" s="20" t="s">
        <v>8</v>
      </c>
      <c r="M1460" s="1146"/>
      <c r="N1460" s="982"/>
    </row>
    <row r="1461" spans="1:24" s="59" customFormat="1" ht="30" customHeight="1" thickBot="1">
      <c r="A1461" s="1165"/>
      <c r="B1461" s="1166"/>
      <c r="C1461" s="1166"/>
      <c r="D1461" s="1166"/>
      <c r="E1461" s="1166"/>
      <c r="F1461" s="1166"/>
      <c r="G1461" s="1166"/>
      <c r="H1461" s="1166"/>
      <c r="I1461" s="1166"/>
      <c r="J1461" s="1166"/>
      <c r="K1461" s="1166"/>
      <c r="L1461" s="1167"/>
      <c r="M1461" s="1146"/>
      <c r="N1461" s="982"/>
    </row>
    <row r="1462" spans="1:24" s="59" customFormat="1" ht="30" customHeight="1">
      <c r="A1462" s="81" t="s">
        <v>280</v>
      </c>
      <c r="B1462" s="82">
        <v>2171</v>
      </c>
      <c r="C1462" s="1228" t="s">
        <v>1116</v>
      </c>
      <c r="D1462" s="1229"/>
      <c r="E1462" s="74" t="s">
        <v>282</v>
      </c>
      <c r="F1462" s="75" t="s">
        <v>8</v>
      </c>
      <c r="G1462" s="58" t="s">
        <v>290</v>
      </c>
      <c r="H1462" s="104">
        <v>9388</v>
      </c>
      <c r="I1462" s="74" t="s">
        <v>283</v>
      </c>
      <c r="J1462" s="1199" t="s">
        <v>1002</v>
      </c>
      <c r="K1462" s="1230"/>
      <c r="L1462" s="1231"/>
      <c r="M1462" s="1146"/>
      <c r="N1462" s="226"/>
    </row>
    <row r="1463" spans="1:24" s="59" customFormat="1" ht="30" customHeight="1">
      <c r="A1463" s="77" t="s">
        <v>293</v>
      </c>
      <c r="B1463" s="1232" t="s">
        <v>284</v>
      </c>
      <c r="C1463" s="1232"/>
      <c r="D1463" s="1232"/>
      <c r="E1463" s="96" t="s">
        <v>295</v>
      </c>
      <c r="F1463" s="77" t="s">
        <v>294</v>
      </c>
      <c r="G1463" s="1365" t="s">
        <v>2</v>
      </c>
      <c r="H1463" s="1366"/>
      <c r="I1463" s="1233" t="s">
        <v>2918</v>
      </c>
      <c r="J1463" s="1234"/>
      <c r="K1463" s="1206" t="s">
        <v>297</v>
      </c>
      <c r="L1463" s="1207"/>
      <c r="M1463" s="1146"/>
      <c r="N1463" s="226"/>
    </row>
    <row r="1464" spans="1:24" s="59" customFormat="1" ht="30" customHeight="1">
      <c r="A1464" s="20">
        <v>21710</v>
      </c>
      <c r="B1464" s="1179" t="s">
        <v>1117</v>
      </c>
      <c r="C1464" s="1180"/>
      <c r="D1464" s="1181"/>
      <c r="E1464" s="153">
        <v>152.35</v>
      </c>
      <c r="F1464" s="316">
        <v>17000</v>
      </c>
      <c r="G1464" s="286" t="s">
        <v>8</v>
      </c>
      <c r="H1464" s="286"/>
      <c r="I1464" s="1192">
        <f>+'2019 MILCON Inflation Table'!$F$13</f>
        <v>1.0963107786467188</v>
      </c>
      <c r="J1464" s="1193"/>
      <c r="K1464" s="106">
        <f>+E1464*I1464</f>
        <v>167.0229471268276</v>
      </c>
      <c r="L1464" s="97" t="s">
        <v>8</v>
      </c>
      <c r="M1464" s="1146"/>
      <c r="N1464" s="226"/>
    </row>
    <row r="1465" spans="1:24" s="59" customFormat="1" ht="30" customHeight="1" thickBot="1">
      <c r="A1465" s="20"/>
      <c r="B1465" s="1179"/>
      <c r="C1465" s="1180"/>
      <c r="D1465" s="1181"/>
      <c r="E1465" s="181"/>
      <c r="F1465" s="338"/>
      <c r="G1465" s="181"/>
      <c r="H1465" s="339"/>
      <c r="I1465" s="18"/>
      <c r="J1465" s="79" t="s">
        <v>289</v>
      </c>
      <c r="K1465" s="107">
        <f>AVERAGE(K1464:K1464)</f>
        <v>167.0229471268276</v>
      </c>
      <c r="L1465" s="97" t="s">
        <v>8</v>
      </c>
      <c r="M1465" s="1146"/>
      <c r="N1465" s="226"/>
    </row>
    <row r="1466" spans="1:24" s="59" customFormat="1" ht="30" customHeight="1" thickBot="1">
      <c r="A1466" s="1165"/>
      <c r="B1466" s="1166"/>
      <c r="C1466" s="1166"/>
      <c r="D1466" s="1166"/>
      <c r="E1466" s="1166"/>
      <c r="F1466" s="1166"/>
      <c r="G1466" s="1166"/>
      <c r="H1466" s="1166"/>
      <c r="I1466" s="1166"/>
      <c r="J1466" s="1166"/>
      <c r="K1466" s="1166"/>
      <c r="L1466" s="1167"/>
      <c r="M1466" s="1146"/>
      <c r="N1466" s="226"/>
    </row>
    <row r="1467" spans="1:24" s="59" customFormat="1" ht="30" customHeight="1">
      <c r="A1467" s="81" t="s">
        <v>280</v>
      </c>
      <c r="B1467" s="82">
        <v>2172</v>
      </c>
      <c r="C1467" s="1228" t="s">
        <v>1118</v>
      </c>
      <c r="D1467" s="1229"/>
      <c r="E1467" s="74" t="s">
        <v>282</v>
      </c>
      <c r="F1467" s="75" t="s">
        <v>8</v>
      </c>
      <c r="G1467" s="58" t="s">
        <v>290</v>
      </c>
      <c r="H1467" s="277">
        <v>18050</v>
      </c>
      <c r="I1467" s="74" t="s">
        <v>283</v>
      </c>
      <c r="J1467" s="1199" t="s">
        <v>1002</v>
      </c>
      <c r="K1467" s="1230"/>
      <c r="L1467" s="1231"/>
      <c r="M1467" s="1146"/>
      <c r="N1467" s="440"/>
      <c r="O1467" s="441"/>
      <c r="P1467" s="442"/>
      <c r="Q1467" s="440"/>
      <c r="R1467" s="443"/>
    </row>
    <row r="1468" spans="1:24" s="59" customFormat="1" ht="30" customHeight="1">
      <c r="A1468" s="77" t="s">
        <v>293</v>
      </c>
      <c r="B1468" s="1232" t="s">
        <v>284</v>
      </c>
      <c r="C1468" s="1232"/>
      <c r="D1468" s="1232"/>
      <c r="E1468" s="96" t="s">
        <v>295</v>
      </c>
      <c r="F1468" s="77" t="s">
        <v>294</v>
      </c>
      <c r="G1468" s="1365" t="s">
        <v>2</v>
      </c>
      <c r="H1468" s="1366"/>
      <c r="I1468" s="1233" t="s">
        <v>2918</v>
      </c>
      <c r="J1468" s="1234"/>
      <c r="K1468" s="1206" t="s">
        <v>297</v>
      </c>
      <c r="L1468" s="1207"/>
      <c r="M1468" s="1146"/>
      <c r="N1468" s="440"/>
      <c r="O1468" s="441"/>
      <c r="P1468" s="442"/>
      <c r="Q1468" s="440"/>
      <c r="R1468" s="443"/>
    </row>
    <row r="1469" spans="1:24" s="59" customFormat="1" ht="30" customHeight="1">
      <c r="A1469" s="20">
        <v>21710</v>
      </c>
      <c r="B1469" s="1179" t="s">
        <v>1117</v>
      </c>
      <c r="C1469" s="1180"/>
      <c r="D1469" s="1181"/>
      <c r="E1469" s="153">
        <v>152.35</v>
      </c>
      <c r="F1469" s="316">
        <v>17000</v>
      </c>
      <c r="G1469" s="286" t="s">
        <v>8</v>
      </c>
      <c r="H1469" s="286"/>
      <c r="I1469" s="1192">
        <f>+'2019 MILCON Inflation Table'!$F$13</f>
        <v>1.0963107786467188</v>
      </c>
      <c r="J1469" s="1193"/>
      <c r="K1469" s="106">
        <f>+E1469*I1469</f>
        <v>167.0229471268276</v>
      </c>
      <c r="L1469" s="97" t="s">
        <v>8</v>
      </c>
      <c r="M1469" s="1146"/>
      <c r="N1469" s="226"/>
    </row>
    <row r="1470" spans="1:24" s="59" customFormat="1" ht="30" customHeight="1" thickBot="1">
      <c r="A1470" s="20"/>
      <c r="B1470" s="1179"/>
      <c r="C1470" s="1180"/>
      <c r="D1470" s="1181"/>
      <c r="E1470" s="181"/>
      <c r="F1470" s="338"/>
      <c r="G1470" s="181"/>
      <c r="H1470" s="339"/>
      <c r="I1470" s="18"/>
      <c r="J1470" s="79" t="s">
        <v>289</v>
      </c>
      <c r="K1470" s="107">
        <f>AVERAGE(K1469:K1469)</f>
        <v>167.0229471268276</v>
      </c>
      <c r="L1470" s="97" t="s">
        <v>8</v>
      </c>
      <c r="M1470" s="1146"/>
      <c r="N1470" s="226"/>
      <c r="T1470"/>
      <c r="U1470"/>
      <c r="V1470"/>
      <c r="W1470"/>
      <c r="X1470"/>
    </row>
    <row r="1471" spans="1:24" ht="30" customHeight="1" thickBot="1">
      <c r="A1471" s="1165"/>
      <c r="B1471" s="1166"/>
      <c r="C1471" s="1166"/>
      <c r="D1471" s="1166"/>
      <c r="E1471" s="1166"/>
      <c r="F1471" s="1166"/>
      <c r="G1471" s="1166"/>
      <c r="H1471" s="1166"/>
      <c r="I1471" s="1166"/>
      <c r="J1471" s="1166"/>
      <c r="K1471" s="1166"/>
      <c r="L1471" s="1167"/>
      <c r="M1471" s="1146"/>
      <c r="O1471"/>
      <c r="T1471" s="32"/>
      <c r="U1471" s="32"/>
      <c r="V1471" s="32"/>
      <c r="W1471" s="32"/>
      <c r="X1471" s="32"/>
    </row>
    <row r="1472" spans="1:24" s="32" customFormat="1" ht="30" customHeight="1">
      <c r="A1472" s="209" t="s">
        <v>280</v>
      </c>
      <c r="B1472" s="209">
        <v>2173</v>
      </c>
      <c r="C1472" s="1215" t="s">
        <v>1119</v>
      </c>
      <c r="D1472" s="1216"/>
      <c r="E1472" s="48" t="s">
        <v>282</v>
      </c>
      <c r="F1472" s="52" t="s">
        <v>10</v>
      </c>
      <c r="G1472" s="29" t="s">
        <v>281</v>
      </c>
      <c r="H1472" s="31">
        <v>1</v>
      </c>
      <c r="I1472" s="30" t="s">
        <v>283</v>
      </c>
      <c r="J1472" s="1409" t="s">
        <v>2529</v>
      </c>
      <c r="K1472" s="1409"/>
      <c r="L1472" s="1410"/>
      <c r="M1472" s="1146"/>
      <c r="N1472" s="125"/>
      <c r="O1472" s="33"/>
      <c r="T1472" s="38"/>
      <c r="U1472" s="38"/>
      <c r="V1472" s="38"/>
      <c r="W1472" s="38"/>
      <c r="X1472" s="38"/>
    </row>
    <row r="1473" spans="1:24" s="38" customFormat="1" ht="30" customHeight="1">
      <c r="A1473" s="79" t="s">
        <v>304</v>
      </c>
      <c r="B1473" s="1520" t="s">
        <v>330</v>
      </c>
      <c r="C1473" s="1520"/>
      <c r="D1473" s="1520"/>
      <c r="E1473" s="79" t="s">
        <v>295</v>
      </c>
      <c r="F1473" s="79" t="s">
        <v>331</v>
      </c>
      <c r="G1473" s="1521" t="s">
        <v>332</v>
      </c>
      <c r="H1473" s="1521"/>
      <c r="I1473" s="77" t="s">
        <v>305</v>
      </c>
      <c r="J1473" s="77"/>
      <c r="K1473" s="1206" t="s">
        <v>297</v>
      </c>
      <c r="L1473" s="1207"/>
      <c r="M1473" s="1146"/>
      <c r="N1473" s="193"/>
      <c r="O1473" s="1119"/>
      <c r="T1473"/>
      <c r="U1473"/>
      <c r="V1473"/>
      <c r="W1473"/>
      <c r="X1473"/>
    </row>
    <row r="1474" spans="1:24" ht="30" customHeight="1">
      <c r="A1474" s="20" t="s">
        <v>306</v>
      </c>
      <c r="B1474" s="1224" t="s">
        <v>1120</v>
      </c>
      <c r="C1474" s="1224"/>
      <c r="D1474" s="1224"/>
      <c r="E1474" s="153">
        <v>975</v>
      </c>
      <c r="F1474" s="20" t="s">
        <v>344</v>
      </c>
      <c r="G1474" s="206">
        <v>100</v>
      </c>
      <c r="H1474" s="20" t="s">
        <v>509</v>
      </c>
      <c r="I1474" s="326">
        <v>1.04</v>
      </c>
      <c r="J1474" s="326"/>
      <c r="K1474" s="153">
        <f>+E1474*G1474*I1474</f>
        <v>101400</v>
      </c>
      <c r="L1474" s="20" t="s">
        <v>10</v>
      </c>
      <c r="M1474" s="1146"/>
      <c r="N1474" s="85"/>
    </row>
    <row r="1475" spans="1:24" ht="30" customHeight="1">
      <c r="A1475" s="20"/>
      <c r="B1475" s="1224" t="s">
        <v>2663</v>
      </c>
      <c r="C1475" s="1224"/>
      <c r="D1475" s="1224"/>
      <c r="E1475" s="153"/>
      <c r="F1475" s="1174" t="s">
        <v>308</v>
      </c>
      <c r="G1475" s="1208" t="s">
        <v>309</v>
      </c>
      <c r="H1475" s="1208"/>
      <c r="I1475" s="1208"/>
      <c r="J1475" s="1208"/>
      <c r="K1475" s="123">
        <v>1.06</v>
      </c>
      <c r="L1475" s="10"/>
      <c r="M1475" s="1146"/>
      <c r="N1475" s="1103"/>
      <c r="O1475"/>
      <c r="P1475" s="159"/>
      <c r="Q1475" s="147"/>
      <c r="R1475" s="149"/>
    </row>
    <row r="1476" spans="1:24" ht="30" customHeight="1">
      <c r="A1476" s="20"/>
      <c r="B1476" s="157"/>
      <c r="C1476" s="157"/>
      <c r="D1476" s="157"/>
      <c r="E1476" s="153"/>
      <c r="F1476" s="1175"/>
      <c r="G1476" s="1209" t="s">
        <v>310</v>
      </c>
      <c r="H1476" s="1209"/>
      <c r="I1476" s="1209"/>
      <c r="J1476" s="1209"/>
      <c r="K1476" s="123">
        <v>1.07</v>
      </c>
      <c r="L1476" s="10"/>
      <c r="M1476" s="1146"/>
      <c r="N1476" s="1103"/>
      <c r="O1476"/>
      <c r="P1476" s="159"/>
      <c r="Q1476" s="147"/>
      <c r="R1476" s="149"/>
    </row>
    <row r="1477" spans="1:24" ht="30" customHeight="1">
      <c r="A1477" s="20"/>
      <c r="B1477" s="20"/>
      <c r="C1477" s="18"/>
      <c r="D1477" s="18"/>
      <c r="E1477" s="18"/>
      <c r="F1477" s="18"/>
      <c r="G1477" s="18"/>
      <c r="H1477" s="18"/>
      <c r="I1477" s="18"/>
      <c r="J1477" s="20" t="s">
        <v>289</v>
      </c>
      <c r="K1477" s="23">
        <f>+K1474*K1475/K1476</f>
        <v>100452.33644859813</v>
      </c>
      <c r="L1477" s="20" t="s">
        <v>10</v>
      </c>
      <c r="M1477" s="1146"/>
      <c r="O1477"/>
      <c r="P1477" s="159"/>
      <c r="Q1477" s="147"/>
      <c r="R1477" s="149"/>
      <c r="T1477" s="38"/>
      <c r="U1477" s="38"/>
      <c r="V1477" s="38"/>
      <c r="W1477" s="38"/>
      <c r="X1477" s="38"/>
    </row>
    <row r="1478" spans="1:24" s="38" customFormat="1" ht="30" customHeight="1" thickBot="1">
      <c r="A1478" s="20"/>
      <c r="B1478" s="20"/>
      <c r="C1478" s="18"/>
      <c r="D1478" s="18"/>
      <c r="E1478" s="18"/>
      <c r="F1478" s="18"/>
      <c r="G1478" s="160" t="s">
        <v>312</v>
      </c>
      <c r="H1478" s="18"/>
      <c r="I1478" s="18"/>
      <c r="J1478" s="139">
        <f>VLOOKUP(B1472,'Mil Cost Premiums for RUCs'!$A$4:$R$266,18,FALSE)</f>
        <v>1.0485669999999998</v>
      </c>
      <c r="K1478" s="23">
        <f>+K1477*J1478</f>
        <v>105331.00507289717</v>
      </c>
      <c r="L1478" s="20" t="s">
        <v>10</v>
      </c>
      <c r="M1478" s="1146"/>
      <c r="N1478" s="193"/>
      <c r="P1478" s="159"/>
      <c r="Q1478" s="147"/>
      <c r="R1478" s="149"/>
      <c r="T1478"/>
      <c r="U1478"/>
      <c r="V1478"/>
      <c r="W1478"/>
      <c r="X1478"/>
    </row>
    <row r="1479" spans="1:24" ht="30" customHeight="1" thickBot="1">
      <c r="A1479" s="1165"/>
      <c r="B1479" s="1166"/>
      <c r="C1479" s="1166"/>
      <c r="D1479" s="1166"/>
      <c r="E1479" s="1166"/>
      <c r="F1479" s="1166"/>
      <c r="G1479" s="1166"/>
      <c r="H1479" s="1166"/>
      <c r="I1479" s="1166"/>
      <c r="J1479" s="1166"/>
      <c r="K1479" s="1166"/>
      <c r="L1479" s="1167"/>
      <c r="M1479" s="1146"/>
      <c r="N1479" s="1103"/>
      <c r="O1479"/>
      <c r="P1479" s="159"/>
      <c r="Q1479" s="147"/>
      <c r="R1479" s="149"/>
    </row>
    <row r="1480" spans="1:24" ht="30" customHeight="1">
      <c r="A1480" s="27" t="s">
        <v>280</v>
      </c>
      <c r="B1480" s="82">
        <v>2181</v>
      </c>
      <c r="C1480" s="1228" t="s">
        <v>1121</v>
      </c>
      <c r="D1480" s="1229"/>
      <c r="E1480" s="74" t="s">
        <v>282</v>
      </c>
      <c r="F1480" s="75" t="s">
        <v>8</v>
      </c>
      <c r="G1480" s="58" t="s">
        <v>290</v>
      </c>
      <c r="H1480" s="344">
        <v>9450</v>
      </c>
      <c r="I1480" s="74" t="s">
        <v>283</v>
      </c>
      <c r="J1480" s="1199" t="s">
        <v>292</v>
      </c>
      <c r="K1480" s="1230"/>
      <c r="L1480" s="1231"/>
      <c r="M1480" s="1146"/>
      <c r="N1480" s="1103"/>
      <c r="O1480"/>
      <c r="P1480" s="159"/>
      <c r="Q1480" s="147"/>
      <c r="R1480" s="149"/>
    </row>
    <row r="1481" spans="1:24" ht="30" customHeight="1">
      <c r="A1481" s="35" t="s">
        <v>293</v>
      </c>
      <c r="B1481" s="1232" t="s">
        <v>284</v>
      </c>
      <c r="C1481" s="1232"/>
      <c r="D1481" s="1232"/>
      <c r="E1481" s="78" t="s">
        <v>294</v>
      </c>
      <c r="F1481" s="96" t="s">
        <v>295</v>
      </c>
      <c r="G1481" s="77"/>
      <c r="H1481" s="77"/>
      <c r="I1481" s="1233" t="s">
        <v>2918</v>
      </c>
      <c r="J1481" s="1234"/>
      <c r="K1481" s="1206" t="s">
        <v>297</v>
      </c>
      <c r="L1481" s="1207"/>
      <c r="M1481" s="1146"/>
      <c r="N1481" s="1103"/>
      <c r="O1481"/>
      <c r="P1481" s="159"/>
      <c r="Q1481" s="147"/>
      <c r="R1481" s="149"/>
    </row>
    <row r="1482" spans="1:24" ht="30" customHeight="1">
      <c r="A1482" s="48" t="s">
        <v>298</v>
      </c>
      <c r="B1482" s="1222" t="s">
        <v>1061</v>
      </c>
      <c r="C1482" s="1222"/>
      <c r="D1482" s="1222"/>
      <c r="E1482" s="98">
        <v>8200</v>
      </c>
      <c r="F1482" s="99">
        <v>285</v>
      </c>
      <c r="G1482" s="100"/>
      <c r="H1482" s="101"/>
      <c r="I1482" s="1192">
        <f>'2019 MILCON Inflation Table'!F14</f>
        <v>1.0543655984303466</v>
      </c>
      <c r="J1482" s="1193"/>
      <c r="K1482" s="99">
        <f>F1482*I1482</f>
        <v>300.49419555264876</v>
      </c>
      <c r="L1482" s="97" t="s">
        <v>8</v>
      </c>
      <c r="M1482" s="1146"/>
      <c r="N1482" s="1103"/>
      <c r="O1482"/>
      <c r="P1482" s="159"/>
      <c r="Q1482" s="147"/>
      <c r="R1482" s="149"/>
    </row>
    <row r="1483" spans="1:24" ht="30" customHeight="1" thickBot="1">
      <c r="A1483" s="45"/>
      <c r="B1483" s="1224"/>
      <c r="C1483" s="1224"/>
      <c r="D1483" s="1224"/>
      <c r="E1483" s="1225"/>
      <c r="F1483" s="1226"/>
      <c r="G1483" s="1226"/>
      <c r="H1483" s="1227"/>
      <c r="I1483" s="18"/>
      <c r="J1483" s="79" t="s">
        <v>289</v>
      </c>
      <c r="K1483" s="103">
        <f>+K1482</f>
        <v>300.49419555264876</v>
      </c>
      <c r="L1483" s="20" t="s">
        <v>8</v>
      </c>
      <c r="M1483" s="1146"/>
      <c r="N1483" s="1103"/>
      <c r="O1483"/>
      <c r="P1483" s="159"/>
      <c r="Q1483" s="147"/>
      <c r="R1483" s="149"/>
    </row>
    <row r="1484" spans="1:24" ht="30" customHeight="1" thickBot="1">
      <c r="A1484" s="1165"/>
      <c r="B1484" s="1166"/>
      <c r="C1484" s="1166"/>
      <c r="D1484" s="1166"/>
      <c r="E1484" s="1166"/>
      <c r="F1484" s="1166"/>
      <c r="G1484" s="1166"/>
      <c r="H1484" s="1166"/>
      <c r="I1484" s="1166"/>
      <c r="J1484" s="1166"/>
      <c r="K1484" s="1166"/>
      <c r="L1484" s="1167"/>
      <c r="M1484" s="1146"/>
      <c r="N1484" s="1103"/>
      <c r="O1484"/>
      <c r="P1484" s="159"/>
      <c r="Q1484" s="147"/>
      <c r="R1484" s="149"/>
    </row>
    <row r="1485" spans="1:24" ht="30" customHeight="1">
      <c r="A1485" s="27" t="s">
        <v>280</v>
      </c>
      <c r="B1485" s="82">
        <v>2182</v>
      </c>
      <c r="C1485" s="1228" t="s">
        <v>1122</v>
      </c>
      <c r="D1485" s="1229"/>
      <c r="E1485" s="74" t="s">
        <v>282</v>
      </c>
      <c r="F1485" s="75" t="s">
        <v>8</v>
      </c>
      <c r="G1485" s="58" t="s">
        <v>290</v>
      </c>
      <c r="H1485" s="344">
        <v>6305</v>
      </c>
      <c r="I1485" s="74" t="s">
        <v>283</v>
      </c>
      <c r="J1485" s="1199" t="s">
        <v>292</v>
      </c>
      <c r="K1485" s="1230"/>
      <c r="L1485" s="1231"/>
      <c r="M1485" s="1146"/>
      <c r="N1485" s="984"/>
      <c r="O1485"/>
      <c r="P1485" s="159"/>
      <c r="Q1485" s="147"/>
      <c r="R1485" s="149"/>
    </row>
    <row r="1486" spans="1:24" ht="30" customHeight="1">
      <c r="A1486" s="35" t="s">
        <v>293</v>
      </c>
      <c r="B1486" s="1232" t="s">
        <v>284</v>
      </c>
      <c r="C1486" s="1232"/>
      <c r="D1486" s="1232"/>
      <c r="E1486" s="78" t="s">
        <v>294</v>
      </c>
      <c r="F1486" s="96" t="s">
        <v>295</v>
      </c>
      <c r="G1486" s="77"/>
      <c r="H1486" s="77"/>
      <c r="I1486" s="1233" t="s">
        <v>296</v>
      </c>
      <c r="J1486" s="1234"/>
      <c r="K1486" s="1206" t="s">
        <v>297</v>
      </c>
      <c r="L1486" s="1207"/>
      <c r="M1486" s="1146"/>
      <c r="N1486" s="984"/>
      <c r="O1486"/>
      <c r="P1486" s="159"/>
      <c r="Q1486" s="147"/>
      <c r="R1486" s="149"/>
    </row>
    <row r="1487" spans="1:24" ht="30" customHeight="1">
      <c r="A1487" s="48" t="s">
        <v>298</v>
      </c>
      <c r="B1487" s="1222" t="s">
        <v>1061</v>
      </c>
      <c r="C1487" s="1222"/>
      <c r="D1487" s="1222"/>
      <c r="E1487" s="98">
        <v>8200</v>
      </c>
      <c r="F1487" s="99">
        <v>285</v>
      </c>
      <c r="G1487" s="100"/>
      <c r="H1487" s="101"/>
      <c r="I1487" s="1192">
        <f>'2019 MILCON Inflation Table'!F14</f>
        <v>1.0543655984303466</v>
      </c>
      <c r="J1487" s="1193"/>
      <c r="K1487" s="99">
        <f>F1487*I1487</f>
        <v>300.49419555264876</v>
      </c>
      <c r="L1487" s="97" t="s">
        <v>8</v>
      </c>
      <c r="M1487" s="1146"/>
      <c r="N1487" s="1103"/>
      <c r="O1487"/>
      <c r="P1487" s="159"/>
      <c r="Q1487" s="147"/>
      <c r="R1487" s="149"/>
    </row>
    <row r="1488" spans="1:24" ht="30" customHeight="1" thickBot="1">
      <c r="A1488" s="45"/>
      <c r="B1488" s="1224"/>
      <c r="C1488" s="1224"/>
      <c r="D1488" s="1224"/>
      <c r="E1488" s="1225"/>
      <c r="F1488" s="1226"/>
      <c r="G1488" s="1226"/>
      <c r="H1488" s="1227"/>
      <c r="I1488" s="18"/>
      <c r="J1488" s="79" t="s">
        <v>289</v>
      </c>
      <c r="K1488" s="103">
        <f>+K1487</f>
        <v>300.49419555264876</v>
      </c>
      <c r="L1488" s="20" t="s">
        <v>8</v>
      </c>
      <c r="M1488" s="1146"/>
      <c r="N1488" s="282"/>
      <c r="O1488" s="34"/>
      <c r="P1488" s="283"/>
      <c r="Q1488" s="282"/>
      <c r="R1488" s="284"/>
    </row>
    <row r="1489" spans="1:24" ht="30" customHeight="1" thickBot="1">
      <c r="A1489" s="1165"/>
      <c r="B1489" s="1166"/>
      <c r="C1489" s="1166"/>
      <c r="D1489" s="1166"/>
      <c r="E1489" s="1166"/>
      <c r="F1489" s="1166"/>
      <c r="G1489" s="1166"/>
      <c r="H1489" s="1166"/>
      <c r="I1489" s="1166"/>
      <c r="J1489" s="1166"/>
      <c r="K1489" s="1166"/>
      <c r="L1489" s="1167"/>
      <c r="M1489" s="1146"/>
      <c r="N1489" s="282"/>
      <c r="O1489" s="34"/>
      <c r="P1489" s="283"/>
      <c r="Q1489" s="282"/>
      <c r="R1489" s="284"/>
    </row>
    <row r="1490" spans="1:24" ht="30" customHeight="1">
      <c r="A1490" s="27" t="s">
        <v>280</v>
      </c>
      <c r="B1490" s="82">
        <v>2183</v>
      </c>
      <c r="C1490" s="1228" t="s">
        <v>1123</v>
      </c>
      <c r="D1490" s="1229"/>
      <c r="E1490" s="74" t="s">
        <v>282</v>
      </c>
      <c r="F1490" s="75" t="s">
        <v>8</v>
      </c>
      <c r="G1490" s="58" t="s">
        <v>290</v>
      </c>
      <c r="H1490" s="344">
        <v>7415</v>
      </c>
      <c r="I1490" s="74" t="s">
        <v>283</v>
      </c>
      <c r="J1490" s="1199" t="s">
        <v>292</v>
      </c>
      <c r="K1490" s="1230"/>
      <c r="L1490" s="1231"/>
      <c r="M1490" s="1146"/>
      <c r="N1490" s="1103"/>
      <c r="O1490"/>
      <c r="P1490" s="159"/>
      <c r="Q1490" s="147"/>
      <c r="R1490" s="149"/>
    </row>
    <row r="1491" spans="1:24" ht="30" customHeight="1">
      <c r="A1491" s="35" t="s">
        <v>293</v>
      </c>
      <c r="B1491" s="1232" t="s">
        <v>284</v>
      </c>
      <c r="C1491" s="1232"/>
      <c r="D1491" s="1232"/>
      <c r="E1491" s="78" t="s">
        <v>294</v>
      </c>
      <c r="F1491" s="96" t="s">
        <v>295</v>
      </c>
      <c r="G1491" s="77"/>
      <c r="H1491" s="77"/>
      <c r="I1491" s="1233" t="s">
        <v>426</v>
      </c>
      <c r="J1491" s="1234"/>
      <c r="K1491" s="1206" t="s">
        <v>297</v>
      </c>
      <c r="L1491" s="1207"/>
      <c r="M1491" s="1146"/>
      <c r="N1491" s="1103"/>
      <c r="O1491"/>
      <c r="P1491" s="159"/>
      <c r="Q1491" s="147"/>
      <c r="R1491" s="149"/>
    </row>
    <row r="1492" spans="1:24" ht="30" customHeight="1">
      <c r="A1492" s="48" t="s">
        <v>298</v>
      </c>
      <c r="B1492" s="1222" t="s">
        <v>1061</v>
      </c>
      <c r="C1492" s="1222"/>
      <c r="D1492" s="1222"/>
      <c r="E1492" s="98">
        <v>8200</v>
      </c>
      <c r="F1492" s="99">
        <v>285</v>
      </c>
      <c r="G1492" s="100"/>
      <c r="H1492" s="101"/>
      <c r="I1492" s="1192">
        <f>'2019 MILCON Inflation Table'!F14</f>
        <v>1.0543655984303466</v>
      </c>
      <c r="J1492" s="1193"/>
      <c r="K1492" s="99">
        <f>F1492*I1492</f>
        <v>300.49419555264876</v>
      </c>
      <c r="L1492" s="97" t="s">
        <v>8</v>
      </c>
      <c r="M1492" s="1146"/>
      <c r="N1492" s="1103"/>
      <c r="O1492"/>
      <c r="P1492" s="159"/>
      <c r="Q1492" s="147"/>
      <c r="R1492" s="149"/>
    </row>
    <row r="1493" spans="1:24" ht="30" customHeight="1" thickBot="1">
      <c r="A1493" s="45"/>
      <c r="B1493" s="1224"/>
      <c r="C1493" s="1224"/>
      <c r="D1493" s="1224"/>
      <c r="E1493" s="1225"/>
      <c r="F1493" s="1226"/>
      <c r="G1493" s="1226"/>
      <c r="H1493" s="1227"/>
      <c r="I1493" s="18"/>
      <c r="J1493" s="79" t="s">
        <v>289</v>
      </c>
      <c r="K1493" s="103">
        <f>+K1492</f>
        <v>300.49419555264876</v>
      </c>
      <c r="L1493" s="20" t="s">
        <v>8</v>
      </c>
      <c r="M1493" s="1146"/>
      <c r="N1493" s="1103"/>
      <c r="O1493"/>
      <c r="P1493" s="159"/>
      <c r="Q1493" s="147"/>
      <c r="R1493" s="149"/>
    </row>
    <row r="1494" spans="1:24" ht="30" customHeight="1" thickBot="1">
      <c r="A1494" s="1165"/>
      <c r="B1494" s="1166"/>
      <c r="C1494" s="1166"/>
      <c r="D1494" s="1166"/>
      <c r="E1494" s="1166"/>
      <c r="F1494" s="1166"/>
      <c r="G1494" s="1166"/>
      <c r="H1494" s="1166"/>
      <c r="I1494" s="1166"/>
      <c r="J1494" s="1166"/>
      <c r="K1494" s="1166"/>
      <c r="L1494" s="1167"/>
      <c r="M1494" s="1146"/>
      <c r="N1494" s="1103"/>
      <c r="O1494"/>
      <c r="P1494" s="159"/>
      <c r="Q1494" s="147"/>
      <c r="R1494" s="149"/>
    </row>
    <row r="1495" spans="1:24" ht="30" customHeight="1">
      <c r="A1495" s="81" t="s">
        <v>280</v>
      </c>
      <c r="B1495" s="82">
        <v>2184</v>
      </c>
      <c r="C1495" s="1197" t="s">
        <v>1124</v>
      </c>
      <c r="D1495" s="1198"/>
      <c r="E1495" s="74" t="s">
        <v>282</v>
      </c>
      <c r="F1495" s="75" t="s">
        <v>8</v>
      </c>
      <c r="G1495" s="58" t="s">
        <v>290</v>
      </c>
      <c r="H1495" s="344">
        <v>12219</v>
      </c>
      <c r="I1495" s="74" t="s">
        <v>283</v>
      </c>
      <c r="J1495" s="1409" t="s">
        <v>1125</v>
      </c>
      <c r="K1495" s="1528"/>
      <c r="L1495" s="1529"/>
      <c r="M1495" s="1146"/>
      <c r="N1495" s="1103"/>
      <c r="O1495"/>
      <c r="P1495" s="159"/>
      <c r="Q1495" s="147"/>
      <c r="R1495" s="149"/>
    </row>
    <row r="1496" spans="1:24" ht="30" customHeight="1">
      <c r="A1496" s="77"/>
      <c r="B1496" s="1232" t="s">
        <v>284</v>
      </c>
      <c r="C1496" s="1232"/>
      <c r="D1496" s="1232"/>
      <c r="E1496" s="77" t="s">
        <v>294</v>
      </c>
      <c r="F1496" s="96" t="s">
        <v>295</v>
      </c>
      <c r="G1496" s="1233"/>
      <c r="H1496" s="1234"/>
      <c r="I1496" s="1233" t="s">
        <v>426</v>
      </c>
      <c r="J1496" s="1234"/>
      <c r="K1496" s="1206" t="s">
        <v>297</v>
      </c>
      <c r="L1496" s="1207"/>
      <c r="M1496" s="1146"/>
      <c r="N1496" s="1103"/>
      <c r="O1496"/>
      <c r="P1496" s="159"/>
      <c r="Q1496" s="147"/>
      <c r="R1496" s="149"/>
    </row>
    <row r="1497" spans="1:24" ht="30" customHeight="1">
      <c r="A1497" s="65" t="s">
        <v>298</v>
      </c>
      <c r="B1497" s="1222" t="s">
        <v>1126</v>
      </c>
      <c r="C1497" s="1222"/>
      <c r="D1497" s="1222"/>
      <c r="E1497" s="500">
        <v>6600</v>
      </c>
      <c r="F1497" s="99">
        <v>198</v>
      </c>
      <c r="G1497" s="1533"/>
      <c r="H1497" s="1534"/>
      <c r="I1497" s="1192">
        <f>+'2019 MILCON Inflation Table'!F9</f>
        <v>1.2764251781472684</v>
      </c>
      <c r="J1497" s="1193"/>
      <c r="K1497" s="501">
        <f>+F1497*I1497</f>
        <v>252.73218527315913</v>
      </c>
      <c r="L1497" s="65" t="s">
        <v>8</v>
      </c>
      <c r="M1497" s="1146"/>
      <c r="N1497" s="1103"/>
      <c r="O1497"/>
      <c r="P1497" s="159"/>
      <c r="Q1497" s="147"/>
      <c r="R1497" s="149"/>
    </row>
    <row r="1498" spans="1:24" ht="30" customHeight="1" thickBot="1">
      <c r="A1498" s="20"/>
      <c r="B1498" s="1224"/>
      <c r="C1498" s="1224"/>
      <c r="D1498" s="1224"/>
      <c r="E1498" s="1225"/>
      <c r="F1498" s="1226"/>
      <c r="G1498" s="1226"/>
      <c r="H1498" s="1227"/>
      <c r="I1498" s="18"/>
      <c r="J1498" s="79" t="s">
        <v>289</v>
      </c>
      <c r="K1498" s="502">
        <f>+K1497</f>
        <v>252.73218527315913</v>
      </c>
      <c r="L1498" s="20" t="s">
        <v>8</v>
      </c>
      <c r="M1498" s="1146"/>
      <c r="N1498" s="1103"/>
      <c r="O1498"/>
      <c r="P1498" s="159"/>
      <c r="Q1498" s="147"/>
      <c r="R1498" s="149"/>
    </row>
    <row r="1499" spans="1:24" ht="30" customHeight="1" thickBot="1">
      <c r="A1499" s="1530"/>
      <c r="B1499" s="1531"/>
      <c r="C1499" s="1531"/>
      <c r="D1499" s="1531"/>
      <c r="E1499" s="1531"/>
      <c r="F1499" s="1531"/>
      <c r="G1499" s="1531"/>
      <c r="H1499" s="1531"/>
      <c r="I1499" s="1531"/>
      <c r="J1499" s="1531"/>
      <c r="K1499" s="1531"/>
      <c r="L1499" s="1532"/>
      <c r="M1499" s="1146"/>
      <c r="N1499" s="1103"/>
      <c r="O1499"/>
      <c r="P1499" s="159"/>
      <c r="Q1499" s="147"/>
      <c r="R1499" s="149"/>
    </row>
    <row r="1500" spans="1:24" ht="30" customHeight="1">
      <c r="A1500" s="27" t="s">
        <v>280</v>
      </c>
      <c r="B1500" s="82">
        <v>2185</v>
      </c>
      <c r="C1500" s="1228" t="s">
        <v>1128</v>
      </c>
      <c r="D1500" s="1229"/>
      <c r="E1500" s="74" t="s">
        <v>282</v>
      </c>
      <c r="F1500" s="75" t="s">
        <v>8</v>
      </c>
      <c r="G1500" s="58" t="s">
        <v>290</v>
      </c>
      <c r="H1500" s="104">
        <v>5952</v>
      </c>
      <c r="I1500" s="74" t="s">
        <v>283</v>
      </c>
      <c r="J1500" s="1199" t="s">
        <v>2569</v>
      </c>
      <c r="K1500" s="1230"/>
      <c r="L1500" s="1231"/>
      <c r="M1500" s="1146"/>
      <c r="N1500" s="1103"/>
      <c r="O1500"/>
      <c r="P1500" s="159"/>
      <c r="Q1500" s="147"/>
      <c r="R1500" s="149"/>
      <c r="T1500" s="44"/>
      <c r="U1500" s="34"/>
    </row>
    <row r="1501" spans="1:24" ht="30" customHeight="1">
      <c r="A1501" s="35" t="s">
        <v>293</v>
      </c>
      <c r="B1501" s="1232" t="s">
        <v>284</v>
      </c>
      <c r="C1501" s="1232"/>
      <c r="D1501" s="1232"/>
      <c r="E1501" s="96" t="s">
        <v>295</v>
      </c>
      <c r="F1501" s="77" t="s">
        <v>294</v>
      </c>
      <c r="G1501" s="1365" t="s">
        <v>2</v>
      </c>
      <c r="H1501" s="1366"/>
      <c r="I1501" s="1233" t="s">
        <v>426</v>
      </c>
      <c r="J1501" s="1234"/>
      <c r="K1501" s="1206" t="s">
        <v>297</v>
      </c>
      <c r="L1501" s="1207"/>
      <c r="M1501" s="1146"/>
      <c r="P1501" s="34"/>
      <c r="Q1501" s="34"/>
      <c r="R1501" s="34"/>
      <c r="S1501" s="44"/>
      <c r="T1501" s="44"/>
      <c r="U1501" s="34"/>
    </row>
    <row r="1502" spans="1:24" ht="30" customHeight="1">
      <c r="A1502" s="45">
        <v>44224</v>
      </c>
      <c r="B1502" s="1179" t="s">
        <v>1129</v>
      </c>
      <c r="C1502" s="1180"/>
      <c r="D1502" s="1181"/>
      <c r="E1502" s="153">
        <v>399</v>
      </c>
      <c r="F1502" s="316">
        <v>2100</v>
      </c>
      <c r="G1502" s="286" t="s">
        <v>8</v>
      </c>
      <c r="H1502" s="286"/>
      <c r="I1502" s="1192" t="s">
        <v>2551</v>
      </c>
      <c r="J1502" s="1193"/>
      <c r="K1502" s="99">
        <f>+E1502</f>
        <v>399</v>
      </c>
      <c r="L1502" s="97" t="s">
        <v>8</v>
      </c>
      <c r="M1502" s="1146"/>
      <c r="P1502" s="34"/>
      <c r="Q1502" s="34"/>
      <c r="R1502" s="34"/>
      <c r="S1502" s="44"/>
      <c r="T1502" s="32"/>
      <c r="U1502" s="32"/>
      <c r="V1502" s="32"/>
      <c r="W1502" s="32"/>
      <c r="X1502" s="32"/>
    </row>
    <row r="1503" spans="1:24" s="32" customFormat="1" ht="30" customHeight="1" thickBot="1">
      <c r="A1503" s="45"/>
      <c r="B1503" s="1179"/>
      <c r="C1503" s="1180"/>
      <c r="D1503" s="1181"/>
      <c r="E1503" s="181"/>
      <c r="F1503" s="338"/>
      <c r="G1503" s="181"/>
      <c r="H1503" s="339"/>
      <c r="I1503" s="18"/>
      <c r="J1503" s="79" t="s">
        <v>289</v>
      </c>
      <c r="K1503" s="103">
        <f>AVERAGE(K1502:K1502)</f>
        <v>399</v>
      </c>
      <c r="L1503" s="97" t="s">
        <v>8</v>
      </c>
      <c r="M1503" s="1146"/>
      <c r="N1503" s="125"/>
      <c r="O1503" s="33"/>
      <c r="T1503" s="38"/>
      <c r="U1503" s="38"/>
      <c r="V1503" s="38"/>
      <c r="W1503" s="38"/>
      <c r="X1503" s="38"/>
    </row>
    <row r="1504" spans="1:24" s="38" customFormat="1" ht="30" customHeight="1" thickBot="1">
      <c r="A1504" s="1165"/>
      <c r="B1504" s="1166"/>
      <c r="C1504" s="1166"/>
      <c r="D1504" s="1166"/>
      <c r="E1504" s="1166"/>
      <c r="F1504" s="1166"/>
      <c r="G1504" s="1166"/>
      <c r="H1504" s="1166"/>
      <c r="I1504" s="1166"/>
      <c r="J1504" s="1166"/>
      <c r="K1504" s="1166"/>
      <c r="L1504" s="1167"/>
      <c r="M1504" s="1146"/>
      <c r="N1504" s="193"/>
      <c r="O1504" s="1119"/>
      <c r="T1504"/>
      <c r="U1504"/>
      <c r="V1504"/>
      <c r="W1504"/>
      <c r="X1504"/>
    </row>
    <row r="1505" spans="1:24" ht="30" customHeight="1">
      <c r="A1505" s="503" t="s">
        <v>280</v>
      </c>
      <c r="B1505" s="504">
        <v>2191</v>
      </c>
      <c r="C1505" s="1290" t="s">
        <v>1130</v>
      </c>
      <c r="D1505" s="1291"/>
      <c r="E1505" s="505" t="s">
        <v>282</v>
      </c>
      <c r="F1505" s="506" t="s">
        <v>8</v>
      </c>
      <c r="G1505" s="58" t="s">
        <v>290</v>
      </c>
      <c r="H1505" s="1072">
        <v>5738</v>
      </c>
      <c r="I1505" s="505" t="s">
        <v>283</v>
      </c>
      <c r="J1505" s="1409" t="s">
        <v>2529</v>
      </c>
      <c r="K1505" s="1409"/>
      <c r="L1505" s="1410"/>
      <c r="M1505" s="1146"/>
      <c r="N1505" s="85"/>
      <c r="T1505" s="32"/>
      <c r="U1505" s="34"/>
    </row>
    <row r="1506" spans="1:24" ht="30" customHeight="1">
      <c r="A1506" s="165" t="s">
        <v>304</v>
      </c>
      <c r="B1506" s="231" t="s">
        <v>330</v>
      </c>
      <c r="C1506" s="232"/>
      <c r="D1506" s="233"/>
      <c r="E1506" s="219" t="s">
        <v>295</v>
      </c>
      <c r="F1506" s="219" t="s">
        <v>331</v>
      </c>
      <c r="G1506" s="507" t="s">
        <v>332</v>
      </c>
      <c r="H1506" s="508"/>
      <c r="I1506" s="167" t="s">
        <v>305</v>
      </c>
      <c r="J1506" s="167"/>
      <c r="K1506" s="1206" t="s">
        <v>297</v>
      </c>
      <c r="L1506" s="1207"/>
      <c r="M1506" s="1146"/>
      <c r="N1506" s="125"/>
      <c r="O1506" s="33"/>
      <c r="P1506" s="32"/>
      <c r="Q1506" s="32"/>
      <c r="R1506" s="32"/>
      <c r="S1506" s="32"/>
      <c r="U1506" s="34"/>
    </row>
    <row r="1507" spans="1:24" ht="30" customHeight="1">
      <c r="A1507" s="10" t="s">
        <v>979</v>
      </c>
      <c r="B1507" s="1162" t="s">
        <v>2559</v>
      </c>
      <c r="C1507" s="1163"/>
      <c r="D1507" s="1164"/>
      <c r="E1507" s="115">
        <f>76.5-2.25</f>
        <v>74.25</v>
      </c>
      <c r="F1507" s="10" t="s">
        <v>8</v>
      </c>
      <c r="G1507" s="494"/>
      <c r="H1507" s="10"/>
      <c r="I1507" s="10">
        <v>1.05</v>
      </c>
      <c r="J1507" s="10"/>
      <c r="K1507" s="115">
        <f>+E1507*I1507</f>
        <v>77.962500000000006</v>
      </c>
      <c r="L1507" s="10" t="s">
        <v>8</v>
      </c>
      <c r="M1507" s="1146"/>
      <c r="U1507" s="32"/>
      <c r="V1507" s="32"/>
      <c r="W1507" s="32"/>
      <c r="X1507" s="32"/>
    </row>
    <row r="1508" spans="1:24" s="32" customFormat="1" ht="30" customHeight="1">
      <c r="A1508" s="10" t="s">
        <v>461</v>
      </c>
      <c r="B1508" s="1182" t="s">
        <v>1131</v>
      </c>
      <c r="C1508" s="1183"/>
      <c r="D1508" s="1184"/>
      <c r="E1508" s="115">
        <v>132000</v>
      </c>
      <c r="F1508" s="10" t="s">
        <v>10</v>
      </c>
      <c r="G1508" s="115">
        <f>+E1508/H1505</f>
        <v>23.004531195538515</v>
      </c>
      <c r="H1508" s="10" t="s">
        <v>1011</v>
      </c>
      <c r="I1508" s="10">
        <v>1.07</v>
      </c>
      <c r="J1508" s="10"/>
      <c r="K1508" s="115">
        <f>+G1508*I1508</f>
        <v>24.614848379226213</v>
      </c>
      <c r="L1508" s="10" t="s">
        <v>8</v>
      </c>
      <c r="M1508" s="1146"/>
      <c r="N1508" s="25"/>
      <c r="O1508" s="1119"/>
      <c r="P1508"/>
      <c r="Q1508"/>
      <c r="R1508"/>
      <c r="S1508"/>
      <c r="T1508" s="84"/>
      <c r="U1508" s="38"/>
      <c r="V1508" s="38"/>
      <c r="W1508" s="38"/>
      <c r="X1508" s="38"/>
    </row>
    <row r="1509" spans="1:24" s="38" customFormat="1" ht="30" customHeight="1">
      <c r="A1509" s="10" t="s">
        <v>461</v>
      </c>
      <c r="B1509" s="1182" t="s">
        <v>1132</v>
      </c>
      <c r="C1509" s="1183"/>
      <c r="D1509" s="1184"/>
      <c r="E1509" s="115">
        <f>+(228+250)/2</f>
        <v>239</v>
      </c>
      <c r="F1509" s="10" t="s">
        <v>6</v>
      </c>
      <c r="G1509" s="509">
        <f>100*E1509/H1505</f>
        <v>4.1652143604043221</v>
      </c>
      <c r="H1509" s="10" t="s">
        <v>1011</v>
      </c>
      <c r="I1509" s="10">
        <v>1.07</v>
      </c>
      <c r="J1509" s="10"/>
      <c r="K1509" s="115">
        <f>+G1509*I1509</f>
        <v>4.4567793656326247</v>
      </c>
      <c r="L1509" s="10" t="s">
        <v>8</v>
      </c>
      <c r="M1509" s="1146"/>
      <c r="N1509" s="193"/>
      <c r="O1509" s="1119"/>
      <c r="P1509" s="39"/>
      <c r="Q1509" s="39"/>
      <c r="R1509" s="39"/>
      <c r="S1509" s="84"/>
      <c r="T1509" s="44"/>
      <c r="U1509"/>
      <c r="V1509"/>
      <c r="W1509"/>
      <c r="X1509"/>
    </row>
    <row r="1510" spans="1:24" ht="30" customHeight="1">
      <c r="A1510" s="10" t="s">
        <v>461</v>
      </c>
      <c r="B1510" s="1182" t="s">
        <v>1133</v>
      </c>
      <c r="C1510" s="1183"/>
      <c r="D1510" s="1184"/>
      <c r="E1510" s="115">
        <f>+(22.2+44.75)/2</f>
        <v>33.475000000000001</v>
      </c>
      <c r="F1510" s="10" t="s">
        <v>6</v>
      </c>
      <c r="G1510" s="509">
        <f>100*E1510/H1505</f>
        <v>0.58339142558382717</v>
      </c>
      <c r="H1510" s="10" t="s">
        <v>1011</v>
      </c>
      <c r="I1510" s="10">
        <v>1.07</v>
      </c>
      <c r="J1510" s="10"/>
      <c r="K1510" s="115">
        <f>+G1510*I1510</f>
        <v>0.62422882537469515</v>
      </c>
      <c r="L1510" s="10" t="s">
        <v>8</v>
      </c>
      <c r="M1510" s="1146"/>
      <c r="P1510" s="34"/>
      <c r="Q1510" s="34"/>
      <c r="R1510" s="34"/>
      <c r="S1510" s="44"/>
      <c r="T1510" s="44"/>
      <c r="U1510" s="34"/>
    </row>
    <row r="1511" spans="1:24" ht="30" customHeight="1">
      <c r="A1511" s="10"/>
      <c r="B1511" s="403"/>
      <c r="C1511" s="403"/>
      <c r="D1511" s="403"/>
      <c r="E1511" s="115"/>
      <c r="F1511" s="10"/>
      <c r="G1511" s="402"/>
      <c r="H1511" s="403"/>
      <c r="I1511" s="10"/>
      <c r="J1511" s="10" t="s">
        <v>346</v>
      </c>
      <c r="K1511" s="115">
        <f>SUM(K1507:K1510)</f>
        <v>107.65835657023355</v>
      </c>
      <c r="L1511" s="10" t="s">
        <v>8</v>
      </c>
      <c r="M1511" s="1146"/>
      <c r="P1511" s="34"/>
      <c r="Q1511" s="34"/>
      <c r="R1511" s="34"/>
      <c r="S1511" s="44"/>
      <c r="T1511" s="44"/>
      <c r="U1511" s="34"/>
    </row>
    <row r="1512" spans="1:24" ht="30" customHeight="1">
      <c r="A1512" s="45"/>
      <c r="B1512" s="157"/>
      <c r="C1512" s="157"/>
      <c r="D1512" s="157"/>
      <c r="E1512" s="153"/>
      <c r="F1512" s="1174" t="s">
        <v>308</v>
      </c>
      <c r="G1512" s="1208" t="s">
        <v>309</v>
      </c>
      <c r="H1512" s="1208"/>
      <c r="I1512" s="1208"/>
      <c r="J1512" s="1208"/>
      <c r="K1512" s="123">
        <v>1.08</v>
      </c>
      <c r="L1512" s="10"/>
      <c r="M1512" s="1146"/>
      <c r="P1512" s="34"/>
      <c r="Q1512" s="34"/>
      <c r="R1512" s="34"/>
      <c r="S1512" s="44"/>
      <c r="T1512" s="32"/>
      <c r="U1512" s="32"/>
      <c r="V1512" s="32"/>
      <c r="W1512" s="32"/>
      <c r="X1512" s="32"/>
    </row>
    <row r="1513" spans="1:24" s="32" customFormat="1" ht="30" customHeight="1">
      <c r="A1513" s="45"/>
      <c r="B1513" s="157"/>
      <c r="C1513" s="157"/>
      <c r="D1513" s="157"/>
      <c r="E1513" s="153"/>
      <c r="F1513" s="1175"/>
      <c r="G1513" s="1209" t="s">
        <v>310</v>
      </c>
      <c r="H1513" s="1209"/>
      <c r="I1513" s="1209"/>
      <c r="J1513" s="1209"/>
      <c r="K1513" s="123">
        <v>1.07</v>
      </c>
      <c r="L1513" s="10"/>
      <c r="M1513" s="1146"/>
      <c r="N1513" s="125"/>
      <c r="O1513" s="33"/>
      <c r="T1513" s="38"/>
      <c r="U1513" s="38"/>
      <c r="V1513" s="38"/>
      <c r="W1513" s="38"/>
      <c r="X1513" s="38"/>
    </row>
    <row r="1514" spans="1:24" s="38" customFormat="1" ht="30" customHeight="1">
      <c r="A1514" s="10"/>
      <c r="B1514" s="10"/>
      <c r="C1514" s="13"/>
      <c r="D1514" s="13"/>
      <c r="E1514" s="13"/>
      <c r="F1514" s="13"/>
      <c r="G1514" s="13"/>
      <c r="H1514" s="13"/>
      <c r="I1514" s="13"/>
      <c r="J1514" s="10" t="s">
        <v>289</v>
      </c>
      <c r="K1514" s="14">
        <f>+K1511*K1512/K1513</f>
        <v>108.66450943537592</v>
      </c>
      <c r="L1514" s="10" t="s">
        <v>8</v>
      </c>
      <c r="M1514" s="1146"/>
      <c r="N1514" s="193"/>
      <c r="O1514" s="1119"/>
      <c r="T1514"/>
      <c r="U1514"/>
      <c r="V1514"/>
      <c r="W1514"/>
      <c r="X1514"/>
    </row>
    <row r="1515" spans="1:24" ht="30" customHeight="1">
      <c r="A1515" s="10"/>
      <c r="B1515" s="10"/>
      <c r="C1515" s="13"/>
      <c r="D1515" s="13"/>
      <c r="E1515" s="13"/>
      <c r="F1515" s="13"/>
      <c r="G1515" s="235" t="s">
        <v>385</v>
      </c>
      <c r="H1515" s="13"/>
      <c r="I1515" s="13"/>
      <c r="J1515" s="139">
        <f>VLOOKUP(B1505,'Mil Cost Premiums for RUCs'!$A$4:$R$266,18,FALSE)</f>
        <v>1.2416928604998634</v>
      </c>
      <c r="K1515" s="14">
        <f>+K1514*J1515</f>
        <v>134.92794555562631</v>
      </c>
      <c r="L1515" s="10" t="s">
        <v>8</v>
      </c>
      <c r="M1515" s="1146"/>
      <c r="N1515" s="85"/>
      <c r="T1515" s="32"/>
      <c r="U1515" s="34"/>
    </row>
    <row r="1516" spans="1:24" ht="60" customHeight="1">
      <c r="A1516" s="1334" t="s">
        <v>313</v>
      </c>
      <c r="B1516" s="1442"/>
      <c r="C1516" s="1442"/>
      <c r="D1516" s="1442"/>
      <c r="E1516" s="1442"/>
      <c r="F1516" s="1442"/>
      <c r="G1516" s="1442"/>
      <c r="H1516" s="1442"/>
      <c r="I1516" s="1442"/>
      <c r="J1516" s="1442"/>
      <c r="K1516" s="1442"/>
      <c r="L1516" s="1443"/>
      <c r="M1516" s="1146"/>
      <c r="N1516" s="125"/>
      <c r="O1516" s="33"/>
      <c r="P1516" s="32"/>
      <c r="Q1516" s="32"/>
      <c r="R1516" s="32"/>
      <c r="S1516" s="32"/>
      <c r="U1516" s="34"/>
    </row>
    <row r="1517" spans="1:24" ht="34.5" customHeight="1">
      <c r="A1517" s="1516" t="s">
        <v>314</v>
      </c>
      <c r="B1517" s="1517"/>
      <c r="C1517" s="1518"/>
      <c r="D1517" s="1270" t="s">
        <v>1134</v>
      </c>
      <c r="E1517" s="1371"/>
      <c r="F1517" s="1371"/>
      <c r="G1517" s="1371"/>
      <c r="H1517" s="1371"/>
      <c r="I1517" s="1371"/>
      <c r="J1517" s="1371"/>
      <c r="K1517" s="1371"/>
      <c r="L1517" s="1372"/>
      <c r="M1517" s="1146"/>
      <c r="U1517" s="32"/>
      <c r="V1517" s="32"/>
      <c r="W1517" s="32"/>
      <c r="X1517" s="32"/>
    </row>
    <row r="1518" spans="1:24" s="32" customFormat="1" ht="30" customHeight="1">
      <c r="A1518" s="1516" t="s">
        <v>316</v>
      </c>
      <c r="B1518" s="1517"/>
      <c r="C1518" s="1518"/>
      <c r="D1518" s="1270" t="s">
        <v>1135</v>
      </c>
      <c r="E1518" s="1371"/>
      <c r="F1518" s="1371"/>
      <c r="G1518" s="1371"/>
      <c r="H1518" s="1371"/>
      <c r="I1518" s="1371"/>
      <c r="J1518" s="1371"/>
      <c r="K1518" s="1371"/>
      <c r="L1518" s="1372"/>
      <c r="M1518" s="1146"/>
      <c r="N1518" s="25"/>
      <c r="O1518" s="1119"/>
      <c r="P1518"/>
      <c r="Q1518"/>
      <c r="R1518"/>
      <c r="S1518"/>
      <c r="T1518" s="84"/>
      <c r="U1518" s="38"/>
      <c r="V1518" s="38"/>
      <c r="W1518" s="38"/>
      <c r="X1518" s="38"/>
    </row>
    <row r="1519" spans="1:24" s="38" customFormat="1" ht="30.75" customHeight="1">
      <c r="A1519" s="1516" t="s">
        <v>317</v>
      </c>
      <c r="B1519" s="1517"/>
      <c r="C1519" s="1518"/>
      <c r="D1519" s="1270" t="s">
        <v>2664</v>
      </c>
      <c r="E1519" s="1371"/>
      <c r="F1519" s="1371"/>
      <c r="G1519" s="1371"/>
      <c r="H1519" s="1371"/>
      <c r="I1519" s="1371"/>
      <c r="J1519" s="1371"/>
      <c r="K1519" s="1371"/>
      <c r="L1519" s="1372"/>
      <c r="M1519" s="1146"/>
      <c r="N1519" s="193"/>
      <c r="O1519" s="1119"/>
      <c r="P1519" s="39"/>
      <c r="Q1519" s="39"/>
      <c r="R1519" s="39"/>
      <c r="S1519" s="84"/>
      <c r="T1519" s="44"/>
      <c r="U1519"/>
      <c r="V1519"/>
      <c r="W1519"/>
      <c r="X1519"/>
    </row>
    <row r="1520" spans="1:24" ht="45" customHeight="1">
      <c r="A1520" s="1516" t="s">
        <v>318</v>
      </c>
      <c r="B1520" s="1517"/>
      <c r="C1520" s="1518"/>
      <c r="D1520" s="1270" t="s">
        <v>1136</v>
      </c>
      <c r="E1520" s="1371"/>
      <c r="F1520" s="1371"/>
      <c r="G1520" s="1371"/>
      <c r="H1520" s="1371"/>
      <c r="I1520" s="1371"/>
      <c r="J1520" s="1371"/>
      <c r="K1520" s="1371"/>
      <c r="L1520" s="1372"/>
      <c r="M1520" s="1146"/>
      <c r="P1520" s="34"/>
      <c r="Q1520" s="34"/>
      <c r="R1520" s="34"/>
      <c r="S1520" s="44"/>
      <c r="T1520" s="32"/>
      <c r="U1520" s="34"/>
    </row>
    <row r="1521" spans="1:24" ht="60" customHeight="1">
      <c r="A1521" s="1516" t="s">
        <v>320</v>
      </c>
      <c r="B1521" s="1517"/>
      <c r="C1521" s="1518"/>
      <c r="D1521" s="1270" t="s">
        <v>1137</v>
      </c>
      <c r="E1521" s="1371"/>
      <c r="F1521" s="1371"/>
      <c r="G1521" s="1371"/>
      <c r="H1521" s="1371"/>
      <c r="I1521" s="1371"/>
      <c r="J1521" s="1371"/>
      <c r="K1521" s="1371"/>
      <c r="L1521" s="1372"/>
      <c r="M1521" s="1146"/>
      <c r="N1521" s="125"/>
      <c r="O1521" s="33"/>
      <c r="P1521" s="32"/>
      <c r="Q1521" s="32"/>
      <c r="R1521" s="32"/>
      <c r="S1521" s="32"/>
      <c r="U1521" s="34"/>
    </row>
    <row r="1522" spans="1:24" ht="30" customHeight="1">
      <c r="A1522" s="1516" t="s">
        <v>322</v>
      </c>
      <c r="B1522" s="1517"/>
      <c r="C1522" s="1518"/>
      <c r="D1522" s="1270" t="s">
        <v>1138</v>
      </c>
      <c r="E1522" s="1371"/>
      <c r="F1522" s="1371"/>
      <c r="G1522" s="1371"/>
      <c r="H1522" s="1371"/>
      <c r="I1522" s="1371"/>
      <c r="J1522" s="1371"/>
      <c r="K1522" s="1371"/>
      <c r="L1522" s="1372"/>
      <c r="M1522" s="1146"/>
      <c r="U1522" s="32"/>
      <c r="V1522" s="32"/>
      <c r="W1522" s="32"/>
      <c r="X1522" s="32"/>
    </row>
    <row r="1523" spans="1:24" s="32" customFormat="1" ht="30" customHeight="1">
      <c r="A1523" s="1516" t="s">
        <v>324</v>
      </c>
      <c r="B1523" s="1517"/>
      <c r="C1523" s="1518"/>
      <c r="D1523" s="1270" t="s">
        <v>1139</v>
      </c>
      <c r="E1523" s="1371"/>
      <c r="F1523" s="1371"/>
      <c r="G1523" s="1371"/>
      <c r="H1523" s="1371"/>
      <c r="I1523" s="1371"/>
      <c r="J1523" s="1371"/>
      <c r="K1523" s="1371"/>
      <c r="L1523" s="1372"/>
      <c r="M1523" s="1146"/>
      <c r="N1523" s="25"/>
      <c r="O1523" s="1119"/>
      <c r="P1523"/>
      <c r="Q1523"/>
      <c r="R1523"/>
      <c r="S1523"/>
      <c r="T1523" s="84"/>
      <c r="U1523" s="38"/>
      <c r="V1523" s="38"/>
      <c r="W1523" s="38"/>
      <c r="X1523" s="38"/>
    </row>
    <row r="1524" spans="1:24" s="38" customFormat="1" ht="60" customHeight="1">
      <c r="A1524" s="1516" t="s">
        <v>325</v>
      </c>
      <c r="B1524" s="1517"/>
      <c r="C1524" s="1518"/>
      <c r="D1524" s="1507" t="s">
        <v>1140</v>
      </c>
      <c r="E1524" s="1508"/>
      <c r="F1524" s="1508"/>
      <c r="G1524" s="1508"/>
      <c r="H1524" s="1508"/>
      <c r="I1524" s="1508"/>
      <c r="J1524" s="1508"/>
      <c r="K1524" s="1508"/>
      <c r="L1524" s="1509"/>
      <c r="M1524" s="1146"/>
      <c r="N1524" s="193"/>
      <c r="O1524" s="1119"/>
      <c r="P1524" s="39"/>
      <c r="Q1524" s="39"/>
      <c r="R1524" s="39"/>
      <c r="S1524" s="84"/>
      <c r="T1524" s="44"/>
      <c r="U1524"/>
      <c r="V1524"/>
      <c r="W1524"/>
      <c r="X1524"/>
    </row>
    <row r="1525" spans="1:24" ht="60" customHeight="1" thickBot="1">
      <c r="A1525" s="1516" t="s">
        <v>327</v>
      </c>
      <c r="B1525" s="1517"/>
      <c r="C1525" s="1518"/>
      <c r="D1525" s="1270" t="s">
        <v>2926</v>
      </c>
      <c r="E1525" s="1371"/>
      <c r="F1525" s="1371"/>
      <c r="G1525" s="1371"/>
      <c r="H1525" s="1371"/>
      <c r="I1525" s="1371"/>
      <c r="J1525" s="1371"/>
      <c r="K1525" s="1371"/>
      <c r="L1525" s="1372"/>
      <c r="M1525" s="1146"/>
      <c r="P1525" s="34"/>
      <c r="Q1525" s="34"/>
      <c r="R1525" s="34"/>
      <c r="S1525" s="44"/>
    </row>
    <row r="1526" spans="1:24" ht="30" customHeight="1" thickBot="1">
      <c r="A1526" s="1165"/>
      <c r="B1526" s="1166"/>
      <c r="C1526" s="1166"/>
      <c r="D1526" s="1166"/>
      <c r="E1526" s="1166"/>
      <c r="F1526" s="1166"/>
      <c r="G1526" s="1166"/>
      <c r="H1526" s="1166"/>
      <c r="I1526" s="1166"/>
      <c r="J1526" s="1166"/>
      <c r="K1526" s="1166"/>
      <c r="L1526" s="1167"/>
      <c r="M1526" s="1146"/>
      <c r="N1526" s="282"/>
      <c r="O1526"/>
      <c r="P1526" s="159"/>
      <c r="Q1526" s="147"/>
      <c r="R1526" s="149"/>
    </row>
    <row r="1527" spans="1:24" ht="30" customHeight="1">
      <c r="A1527" s="27" t="s">
        <v>280</v>
      </c>
      <c r="B1527" s="82">
        <v>2192</v>
      </c>
      <c r="C1527" s="1197" t="s">
        <v>1141</v>
      </c>
      <c r="D1527" s="1198"/>
      <c r="E1527" s="74" t="s">
        <v>282</v>
      </c>
      <c r="F1527" s="75" t="s">
        <v>10</v>
      </c>
      <c r="G1527" s="58" t="s">
        <v>290</v>
      </c>
      <c r="H1527" s="215">
        <v>5738</v>
      </c>
      <c r="I1527" s="74" t="s">
        <v>283</v>
      </c>
      <c r="J1527" s="1409" t="s">
        <v>2529</v>
      </c>
      <c r="K1527" s="1409"/>
      <c r="L1527" s="1410"/>
      <c r="M1527" s="1146"/>
      <c r="N1527" s="282"/>
      <c r="O1527"/>
      <c r="P1527" s="159"/>
      <c r="Q1527" s="147"/>
      <c r="R1527" s="149"/>
    </row>
    <row r="1528" spans="1:24" ht="30" customHeight="1">
      <c r="A1528" s="37" t="s">
        <v>304</v>
      </c>
      <c r="B1528" s="1201" t="s">
        <v>330</v>
      </c>
      <c r="C1528" s="1202"/>
      <c r="D1528" s="1203"/>
      <c r="E1528" s="150" t="s">
        <v>295</v>
      </c>
      <c r="F1528" s="150" t="s">
        <v>331</v>
      </c>
      <c r="G1528" s="1204" t="s">
        <v>332</v>
      </c>
      <c r="H1528" s="1205"/>
      <c r="I1528" s="77" t="s">
        <v>305</v>
      </c>
      <c r="J1528" s="79"/>
      <c r="K1528" s="1206" t="s">
        <v>297</v>
      </c>
      <c r="L1528" s="1207"/>
      <c r="M1528" s="1146"/>
      <c r="N1528" s="1103"/>
      <c r="O1528"/>
      <c r="P1528" s="159"/>
      <c r="Q1528" s="147"/>
      <c r="R1528" s="149"/>
      <c r="T1528" s="38"/>
      <c r="U1528" s="38"/>
      <c r="V1528" s="38"/>
      <c r="W1528" s="38"/>
      <c r="X1528" s="38"/>
    </row>
    <row r="1529" spans="1:24" s="38" customFormat="1" ht="30" customHeight="1">
      <c r="A1529" s="45" t="s">
        <v>979</v>
      </c>
      <c r="B1529" s="1162" t="s">
        <v>2559</v>
      </c>
      <c r="C1529" s="1163"/>
      <c r="D1529" s="1164"/>
      <c r="E1529" s="115">
        <f>76.5-2.25</f>
        <v>74.25</v>
      </c>
      <c r="F1529" s="20" t="s">
        <v>8</v>
      </c>
      <c r="G1529" s="510">
        <f>+H1527</f>
        <v>5738</v>
      </c>
      <c r="H1529" s="20" t="s">
        <v>334</v>
      </c>
      <c r="I1529" s="20">
        <v>1.05</v>
      </c>
      <c r="J1529" s="326"/>
      <c r="K1529" s="153">
        <f>+E1529*G1529*I1529</f>
        <v>447348.82500000001</v>
      </c>
      <c r="L1529" s="20" t="s">
        <v>10</v>
      </c>
      <c r="M1529" s="1146"/>
      <c r="N1529" s="193"/>
      <c r="O1529" s="159"/>
      <c r="P1529" s="147"/>
      <c r="Q1529" s="149"/>
      <c r="T1529"/>
      <c r="U1529"/>
      <c r="V1529"/>
      <c r="W1529"/>
      <c r="X1529"/>
    </row>
    <row r="1530" spans="1:24" ht="30" customHeight="1">
      <c r="A1530" s="45" t="s">
        <v>377</v>
      </c>
      <c r="B1530" s="1176" t="s">
        <v>1142</v>
      </c>
      <c r="C1530" s="1177"/>
      <c r="D1530" s="1178"/>
      <c r="E1530" s="153">
        <v>3.53</v>
      </c>
      <c r="F1530" s="20" t="s">
        <v>8</v>
      </c>
      <c r="G1530" s="510">
        <f>+H1527</f>
        <v>5738</v>
      </c>
      <c r="H1530" s="20" t="s">
        <v>334</v>
      </c>
      <c r="I1530" s="20">
        <v>1.05</v>
      </c>
      <c r="J1530" s="326"/>
      <c r="K1530" s="153">
        <f>+E1530*G1530*I1530</f>
        <v>21267.897000000001</v>
      </c>
      <c r="L1530" s="20" t="s">
        <v>10</v>
      </c>
      <c r="M1530" s="1146"/>
      <c r="O1530" s="159"/>
      <c r="P1530" s="147"/>
      <c r="Q1530" s="149"/>
    </row>
    <row r="1531" spans="1:24" ht="30" customHeight="1">
      <c r="A1531" s="45"/>
      <c r="B1531" s="1224" t="s">
        <v>1143</v>
      </c>
      <c r="C1531" s="1224"/>
      <c r="D1531" s="1224"/>
      <c r="E1531" s="153"/>
      <c r="F1531" s="20"/>
      <c r="G1531" s="395"/>
      <c r="H1531" s="329"/>
      <c r="I1531" s="20"/>
      <c r="J1531" s="20" t="s">
        <v>346</v>
      </c>
      <c r="K1531" s="153">
        <f>+K1529+K1530</f>
        <v>468616.72200000001</v>
      </c>
      <c r="L1531" s="20" t="s">
        <v>10</v>
      </c>
      <c r="M1531" s="1146"/>
      <c r="N1531" s="85"/>
      <c r="O1531" s="159"/>
      <c r="P1531" s="147"/>
      <c r="Q1531" s="149"/>
    </row>
    <row r="1532" spans="1:24" ht="30" customHeight="1">
      <c r="A1532" s="45"/>
      <c r="B1532" s="157"/>
      <c r="C1532" s="157"/>
      <c r="D1532" s="157"/>
      <c r="E1532" s="153"/>
      <c r="F1532" s="1174" t="s">
        <v>308</v>
      </c>
      <c r="G1532" s="1208" t="s">
        <v>309</v>
      </c>
      <c r="H1532" s="1208"/>
      <c r="I1532" s="1208"/>
      <c r="J1532" s="1208"/>
      <c r="K1532" s="123">
        <v>1.08</v>
      </c>
      <c r="L1532" s="10"/>
      <c r="M1532" s="1146"/>
      <c r="O1532" s="159"/>
      <c r="P1532" s="147"/>
      <c r="Q1532" s="149"/>
    </row>
    <row r="1533" spans="1:24" ht="30" customHeight="1">
      <c r="A1533" s="45"/>
      <c r="B1533" s="157"/>
      <c r="C1533" s="157"/>
      <c r="D1533" s="157"/>
      <c r="E1533" s="153"/>
      <c r="F1533" s="1175"/>
      <c r="G1533" s="1209" t="s">
        <v>310</v>
      </c>
      <c r="H1533" s="1209"/>
      <c r="I1533" s="1209"/>
      <c r="J1533" s="1209"/>
      <c r="K1533" s="123">
        <v>1.07</v>
      </c>
      <c r="L1533" s="10"/>
      <c r="M1533" s="1146"/>
      <c r="O1533" s="159"/>
      <c r="P1533" s="147"/>
      <c r="Q1533" s="149"/>
    </row>
    <row r="1534" spans="1:24" ht="30" customHeight="1">
      <c r="A1534" s="45"/>
      <c r="B1534" s="20"/>
      <c r="C1534" s="18"/>
      <c r="D1534" s="18"/>
      <c r="E1534" s="250"/>
      <c r="F1534" s="18"/>
      <c r="G1534" s="18"/>
      <c r="H1534" s="18"/>
      <c r="I1534" s="18"/>
      <c r="J1534" s="20" t="s">
        <v>289</v>
      </c>
      <c r="K1534" s="23">
        <f>+K1531*K1532/K1533</f>
        <v>472996.31753271027</v>
      </c>
      <c r="L1534" s="20" t="s">
        <v>10</v>
      </c>
      <c r="M1534" s="1146"/>
      <c r="O1534" s="159"/>
      <c r="P1534" s="147"/>
      <c r="Q1534" s="149"/>
    </row>
    <row r="1535" spans="1:24" ht="30" customHeight="1" thickBot="1">
      <c r="A1535" s="45"/>
      <c r="B1535" s="20"/>
      <c r="C1535" s="18"/>
      <c r="D1535" s="18"/>
      <c r="E1535" s="18"/>
      <c r="F1535" s="18"/>
      <c r="G1535" s="160" t="s">
        <v>312</v>
      </c>
      <c r="H1535" s="18"/>
      <c r="I1535" s="18"/>
      <c r="J1535" s="139">
        <f>VLOOKUP(B1527,'Mil Cost Premiums for RUCs'!$A$4:$R$266,18,FALSE)</f>
        <v>1.0517127009999996</v>
      </c>
      <c r="K1535" s="23">
        <f>+K1534*J1535</f>
        <v>497456.23467538017</v>
      </c>
      <c r="L1535" s="20" t="s">
        <v>10</v>
      </c>
      <c r="M1535" s="1146"/>
      <c r="O1535" s="159"/>
      <c r="P1535" s="147"/>
      <c r="Q1535" s="149"/>
    </row>
    <row r="1536" spans="1:24" ht="30" customHeight="1" thickBot="1">
      <c r="A1536" s="1165"/>
      <c r="B1536" s="1166"/>
      <c r="C1536" s="1166"/>
      <c r="D1536" s="1166"/>
      <c r="E1536" s="1166"/>
      <c r="F1536" s="1166"/>
      <c r="G1536" s="1166"/>
      <c r="H1536" s="1166"/>
      <c r="I1536" s="1166"/>
      <c r="J1536" s="1166"/>
      <c r="K1536" s="1166"/>
      <c r="L1536" s="1167"/>
      <c r="M1536" s="1146"/>
      <c r="O1536" s="159"/>
      <c r="P1536" s="147"/>
      <c r="Q1536" s="149"/>
    </row>
    <row r="1537" spans="1:18" ht="30" customHeight="1">
      <c r="A1537" s="162" t="s">
        <v>280</v>
      </c>
      <c r="B1537" s="163">
        <v>2211</v>
      </c>
      <c r="C1537" s="1535" t="s">
        <v>1144</v>
      </c>
      <c r="D1537" s="1536"/>
      <c r="E1537" s="216" t="s">
        <v>282</v>
      </c>
      <c r="F1537" s="217" t="s">
        <v>8</v>
      </c>
      <c r="G1537" s="58" t="s">
        <v>290</v>
      </c>
      <c r="H1537" s="455">
        <v>111399</v>
      </c>
      <c r="I1537" s="216" t="s">
        <v>283</v>
      </c>
      <c r="J1537" s="1409" t="s">
        <v>2529</v>
      </c>
      <c r="K1537" s="1409"/>
      <c r="L1537" s="1410"/>
      <c r="M1537" s="1146"/>
      <c r="O1537" s="159"/>
      <c r="P1537" s="147"/>
      <c r="Q1537" s="149"/>
    </row>
    <row r="1538" spans="1:18" ht="30" customHeight="1">
      <c r="A1538" s="165" t="s">
        <v>304</v>
      </c>
      <c r="B1538" s="1324" t="s">
        <v>330</v>
      </c>
      <c r="C1538" s="1325"/>
      <c r="D1538" s="1326"/>
      <c r="E1538" s="219" t="s">
        <v>295</v>
      </c>
      <c r="F1538" s="219" t="s">
        <v>331</v>
      </c>
      <c r="G1538" s="1206" t="s">
        <v>332</v>
      </c>
      <c r="H1538" s="1207"/>
      <c r="I1538" s="449" t="s">
        <v>1007</v>
      </c>
      <c r="J1538" s="167" t="s">
        <v>305</v>
      </c>
      <c r="K1538" s="1206" t="s">
        <v>297</v>
      </c>
      <c r="L1538" s="1207"/>
      <c r="M1538" s="1146"/>
      <c r="O1538" s="159"/>
      <c r="P1538" s="147"/>
      <c r="Q1538" s="149"/>
    </row>
    <row r="1539" spans="1:18" ht="30" customHeight="1">
      <c r="A1539" s="10" t="s">
        <v>459</v>
      </c>
      <c r="B1539" s="1162" t="s">
        <v>1145</v>
      </c>
      <c r="C1539" s="1163"/>
      <c r="D1539" s="1164"/>
      <c r="E1539" s="115">
        <v>154</v>
      </c>
      <c r="F1539" s="10" t="s">
        <v>8</v>
      </c>
      <c r="G1539" s="450"/>
      <c r="H1539" s="297"/>
      <c r="I1539" s="451">
        <f>+E1539</f>
        <v>154</v>
      </c>
      <c r="J1539" s="10">
        <v>1.05</v>
      </c>
      <c r="K1539" s="299">
        <f>+I1539*J1539</f>
        <v>161.70000000000002</v>
      </c>
      <c r="L1539" s="10" t="s">
        <v>8</v>
      </c>
      <c r="M1539" s="1146"/>
      <c r="O1539" s="159"/>
      <c r="P1539" s="147"/>
      <c r="Q1539" s="149"/>
    </row>
    <row r="1540" spans="1:18" ht="30" customHeight="1">
      <c r="A1540" s="10" t="s">
        <v>377</v>
      </c>
      <c r="B1540" s="1162" t="s">
        <v>2665</v>
      </c>
      <c r="C1540" s="1163"/>
      <c r="D1540" s="1164"/>
      <c r="E1540" s="142">
        <v>2.81</v>
      </c>
      <c r="F1540" s="10" t="s">
        <v>8</v>
      </c>
      <c r="G1540" s="452"/>
      <c r="H1540" s="439"/>
      <c r="I1540" s="453">
        <f>+E1540</f>
        <v>2.81</v>
      </c>
      <c r="J1540" s="10">
        <v>1.05</v>
      </c>
      <c r="K1540" s="299">
        <f t="shared" ref="K1540:K1547" si="39">+I1540*J1540</f>
        <v>2.9505000000000003</v>
      </c>
      <c r="L1540" s="10" t="s">
        <v>8</v>
      </c>
      <c r="M1540" s="1146"/>
      <c r="O1540" s="159"/>
      <c r="P1540" s="147"/>
      <c r="Q1540" s="149"/>
    </row>
    <row r="1541" spans="1:18" ht="30" customHeight="1">
      <c r="A1541" s="10" t="s">
        <v>461</v>
      </c>
      <c r="B1541" s="1162" t="s">
        <v>1146</v>
      </c>
      <c r="C1541" s="1163"/>
      <c r="D1541" s="1164"/>
      <c r="E1541" s="115">
        <v>210000</v>
      </c>
      <c r="F1541" s="401" t="s">
        <v>10</v>
      </c>
      <c r="G1541" s="453">
        <f>+E1541*2/H1537</f>
        <v>3.7702313306223574</v>
      </c>
      <c r="H1541" s="439" t="s">
        <v>1011</v>
      </c>
      <c r="I1541" s="453">
        <f>+E1541*2/H1537</f>
        <v>3.7702313306223574</v>
      </c>
      <c r="J1541" s="10">
        <v>1.07</v>
      </c>
      <c r="K1541" s="299">
        <f>+I1541*J1541</f>
        <v>4.034147523765923</v>
      </c>
      <c r="L1541" s="10" t="s">
        <v>8</v>
      </c>
      <c r="M1541" s="1146"/>
      <c r="O1541" s="159"/>
      <c r="P1541" s="147"/>
      <c r="Q1541" s="149"/>
    </row>
    <row r="1542" spans="1:18" ht="30" customHeight="1">
      <c r="A1542" s="10" t="s">
        <v>395</v>
      </c>
      <c r="B1542" s="1162" t="s">
        <v>1147</v>
      </c>
      <c r="C1542" s="1163"/>
      <c r="D1542" s="1164"/>
      <c r="E1542" s="115">
        <f>(19.15+29.75)/2</f>
        <v>24.45</v>
      </c>
      <c r="F1542" s="401" t="s">
        <v>8</v>
      </c>
      <c r="G1542" s="452"/>
      <c r="H1542" s="439"/>
      <c r="I1542" s="453">
        <f>81*12*E1542/H1537</f>
        <v>0.21333584682088705</v>
      </c>
      <c r="J1542" s="10">
        <v>1.06</v>
      </c>
      <c r="K1542" s="299">
        <f t="shared" si="39"/>
        <v>0.22613599763014028</v>
      </c>
      <c r="L1542" s="10" t="s">
        <v>8</v>
      </c>
      <c r="M1542" s="1146"/>
      <c r="N1542" s="282"/>
      <c r="O1542" s="34"/>
      <c r="P1542" s="283"/>
      <c r="Q1542" s="282"/>
      <c r="R1542" s="284"/>
    </row>
    <row r="1543" spans="1:18" ht="30" customHeight="1">
      <c r="A1543" s="10" t="s">
        <v>395</v>
      </c>
      <c r="B1543" s="1162" t="s">
        <v>1148</v>
      </c>
      <c r="C1543" s="1163"/>
      <c r="D1543" s="1164"/>
      <c r="E1543" s="115">
        <f>(1610+2280)/2</f>
        <v>1945</v>
      </c>
      <c r="F1543" s="401" t="s">
        <v>10</v>
      </c>
      <c r="G1543" s="452"/>
      <c r="H1543" s="439"/>
      <c r="I1543" s="453">
        <f>12*E1543/H1537</f>
        <v>0.20951714108744243</v>
      </c>
      <c r="J1543" s="10">
        <v>1.06</v>
      </c>
      <c r="K1543" s="299">
        <f t="shared" si="39"/>
        <v>0.22208816955268898</v>
      </c>
      <c r="L1543" s="10" t="s">
        <v>8</v>
      </c>
      <c r="M1543" s="1146"/>
      <c r="N1543" s="282"/>
      <c r="O1543" s="34"/>
      <c r="P1543" s="283"/>
      <c r="Q1543" s="282"/>
      <c r="R1543" s="284"/>
    </row>
    <row r="1544" spans="1:18" ht="30" customHeight="1">
      <c r="A1544" s="10" t="s">
        <v>398</v>
      </c>
      <c r="B1544" s="1162" t="s">
        <v>1149</v>
      </c>
      <c r="C1544" s="1163"/>
      <c r="D1544" s="1164"/>
      <c r="E1544" s="115">
        <f>+(32.75+78)/2</f>
        <v>55.375</v>
      </c>
      <c r="F1544" s="401" t="s">
        <v>6</v>
      </c>
      <c r="G1544" s="452">
        <f>12*10</f>
        <v>120</v>
      </c>
      <c r="H1544" s="439" t="s">
        <v>1150</v>
      </c>
      <c r="I1544" s="453">
        <f>+E1544*G1544/$H$1537</f>
        <v>5.9650445695203724E-2</v>
      </c>
      <c r="J1544" s="10">
        <v>1.04</v>
      </c>
      <c r="K1544" s="299">
        <f t="shared" si="39"/>
        <v>6.2036463523011877E-2</v>
      </c>
      <c r="L1544" s="10" t="s">
        <v>8</v>
      </c>
      <c r="M1544" s="1146"/>
      <c r="O1544" s="159"/>
      <c r="P1544" s="147"/>
      <c r="Q1544" s="149"/>
    </row>
    <row r="1545" spans="1:18" ht="30" customHeight="1">
      <c r="A1545" s="10" t="s">
        <v>398</v>
      </c>
      <c r="B1545" s="1162" t="s">
        <v>401</v>
      </c>
      <c r="C1545" s="1163"/>
      <c r="D1545" s="1164"/>
      <c r="E1545" s="115">
        <f>+(6150+11800)/2</f>
        <v>8975</v>
      </c>
      <c r="F1545" s="401" t="s">
        <v>10</v>
      </c>
      <c r="G1545" s="452">
        <v>12</v>
      </c>
      <c r="H1545" s="439" t="s">
        <v>1011</v>
      </c>
      <c r="I1545" s="453">
        <f>+E1545*G1545/$H$1537</f>
        <v>0.96679503406673306</v>
      </c>
      <c r="J1545" s="10">
        <v>1.04</v>
      </c>
      <c r="K1545" s="299">
        <f t="shared" si="39"/>
        <v>1.0054668354294025</v>
      </c>
      <c r="L1545" s="10" t="s">
        <v>8</v>
      </c>
      <c r="M1545" s="1146"/>
      <c r="O1545" s="159"/>
      <c r="P1545" s="147"/>
      <c r="Q1545" s="149"/>
    </row>
    <row r="1546" spans="1:18" ht="30" customHeight="1">
      <c r="A1546" s="10" t="s">
        <v>398</v>
      </c>
      <c r="B1546" s="1162" t="s">
        <v>1018</v>
      </c>
      <c r="C1546" s="1163"/>
      <c r="D1546" s="1164"/>
      <c r="E1546" s="142">
        <f>+(630+965)/2</f>
        <v>797.5</v>
      </c>
      <c r="F1546" s="401" t="s">
        <v>10</v>
      </c>
      <c r="G1546" s="452">
        <v>12</v>
      </c>
      <c r="H1546" s="439" t="s">
        <v>1011</v>
      </c>
      <c r="I1546" s="453">
        <f>+E1546*G1546/$H$1537</f>
        <v>8.5907413890609435E-2</v>
      </c>
      <c r="J1546" s="10">
        <v>1.04</v>
      </c>
      <c r="K1546" s="299">
        <f t="shared" si="39"/>
        <v>8.9343710446233821E-2</v>
      </c>
      <c r="L1546" s="10" t="s">
        <v>8</v>
      </c>
      <c r="M1546" s="1146"/>
      <c r="N1546" s="1103"/>
      <c r="O1546"/>
      <c r="P1546" s="159"/>
      <c r="Q1546" s="147"/>
      <c r="R1546" s="149"/>
    </row>
    <row r="1547" spans="1:18" ht="30" customHeight="1">
      <c r="A1547" s="10" t="s">
        <v>398</v>
      </c>
      <c r="B1547" s="1162" t="s">
        <v>403</v>
      </c>
      <c r="C1547" s="1163"/>
      <c r="D1547" s="1164"/>
      <c r="E1547" s="115">
        <f>+(1110+3300)/2</f>
        <v>2205</v>
      </c>
      <c r="F1547" s="401" t="s">
        <v>10</v>
      </c>
      <c r="G1547" s="452">
        <v>12</v>
      </c>
      <c r="H1547" s="439" t="s">
        <v>1011</v>
      </c>
      <c r="I1547" s="453">
        <f>+E1547*G1547/$H$1537</f>
        <v>0.23752457382920852</v>
      </c>
      <c r="J1547" s="10">
        <v>1.04</v>
      </c>
      <c r="K1547" s="299">
        <f t="shared" si="39"/>
        <v>0.24702555678237686</v>
      </c>
      <c r="L1547" s="10" t="s">
        <v>8</v>
      </c>
      <c r="M1547" s="1146"/>
      <c r="N1547" s="1103"/>
      <c r="O1547"/>
      <c r="P1547" s="159"/>
      <c r="Q1547" s="147"/>
      <c r="R1547" s="149"/>
    </row>
    <row r="1548" spans="1:18" ht="30" customHeight="1">
      <c r="A1548" s="10"/>
      <c r="B1548" s="1162"/>
      <c r="C1548" s="1163"/>
      <c r="D1548" s="1164"/>
      <c r="E1548" s="115"/>
      <c r="F1548" s="10"/>
      <c r="G1548" s="402"/>
      <c r="H1548" s="403"/>
      <c r="I1548" s="403"/>
      <c r="J1548" s="10" t="s">
        <v>379</v>
      </c>
      <c r="K1548" s="115">
        <f>SUM(K1539:K1547)</f>
        <v>170.53674425712978</v>
      </c>
      <c r="L1548" s="10" t="s">
        <v>8</v>
      </c>
      <c r="M1548" s="1146"/>
      <c r="N1548" s="1103"/>
      <c r="O1548"/>
      <c r="P1548" s="159"/>
      <c r="Q1548" s="147"/>
      <c r="R1548" s="149"/>
    </row>
    <row r="1549" spans="1:18" ht="30" customHeight="1">
      <c r="A1549" s="20"/>
      <c r="B1549" s="157"/>
      <c r="C1549" s="157"/>
      <c r="D1549" s="157"/>
      <c r="E1549" s="157"/>
      <c r="F1549" s="1174" t="s">
        <v>308</v>
      </c>
      <c r="G1549" s="1168" t="s">
        <v>309</v>
      </c>
      <c r="H1549" s="1169"/>
      <c r="I1549" s="1169"/>
      <c r="J1549" s="1170"/>
      <c r="K1549" s="123">
        <v>1.06</v>
      </c>
      <c r="L1549" s="10"/>
      <c r="M1549" s="1146"/>
      <c r="N1549" s="1103"/>
      <c r="O1549"/>
      <c r="P1549" s="159"/>
      <c r="Q1549" s="147"/>
      <c r="R1549" s="149"/>
    </row>
    <row r="1550" spans="1:18" ht="30" customHeight="1">
      <c r="A1550" s="20"/>
      <c r="B1550" s="157"/>
      <c r="C1550" s="157"/>
      <c r="D1550" s="157"/>
      <c r="E1550" s="157"/>
      <c r="F1550" s="1175"/>
      <c r="G1550" s="1168" t="s">
        <v>310</v>
      </c>
      <c r="H1550" s="1169"/>
      <c r="I1550" s="1169"/>
      <c r="J1550" s="1170"/>
      <c r="K1550" s="123">
        <v>1.07</v>
      </c>
      <c r="L1550" s="10"/>
      <c r="M1550" s="1146"/>
      <c r="N1550" s="1103"/>
      <c r="O1550"/>
      <c r="P1550" s="159"/>
      <c r="Q1550" s="147"/>
      <c r="R1550" s="149"/>
    </row>
    <row r="1551" spans="1:18" ht="30" customHeight="1">
      <c r="A1551" s="10"/>
      <c r="B1551" s="10"/>
      <c r="C1551" s="13"/>
      <c r="D1551" s="13"/>
      <c r="E1551" s="13"/>
      <c r="F1551" s="13"/>
      <c r="G1551" s="13"/>
      <c r="H1551" s="13"/>
      <c r="I1551" s="13"/>
      <c r="J1551" s="10" t="s">
        <v>289</v>
      </c>
      <c r="K1551" s="14">
        <f>+K1548*K1549/K1550</f>
        <v>168.94294290893231</v>
      </c>
      <c r="L1551" s="10" t="s">
        <v>8</v>
      </c>
      <c r="M1551" s="1146"/>
      <c r="N1551" s="1103"/>
      <c r="O1551"/>
      <c r="P1551" s="159"/>
      <c r="Q1551" s="147"/>
      <c r="R1551" s="149"/>
    </row>
    <row r="1552" spans="1:18" ht="30" customHeight="1">
      <c r="A1552" s="224"/>
      <c r="B1552" s="224"/>
      <c r="C1552" s="225"/>
      <c r="D1552" s="225"/>
      <c r="E1552" s="225"/>
      <c r="F1552" s="225"/>
      <c r="G1552" s="1474" t="s">
        <v>385</v>
      </c>
      <c r="H1552" s="1475"/>
      <c r="I1552" s="1476"/>
      <c r="J1552" s="139">
        <f>VLOOKUP(B1537,'Mil Cost Premiums for RUCs'!$A$4:$R$266,18,FALSE)</f>
        <v>1.1932356231980656</v>
      </c>
      <c r="K1552" s="511">
        <f>+K1551*J1552</f>
        <v>201.58873776685508</v>
      </c>
      <c r="L1552" s="10" t="s">
        <v>8</v>
      </c>
      <c r="M1552" s="1146"/>
      <c r="N1552" s="1103"/>
      <c r="O1552"/>
      <c r="P1552" s="159"/>
      <c r="Q1552" s="147"/>
      <c r="R1552" s="149"/>
    </row>
    <row r="1553" spans="1:24" ht="60" customHeight="1">
      <c r="A1553" s="1335" t="s">
        <v>313</v>
      </c>
      <c r="B1553" s="1335"/>
      <c r="C1553" s="1335"/>
      <c r="D1553" s="1335"/>
      <c r="E1553" s="1335"/>
      <c r="F1553" s="1335"/>
      <c r="G1553" s="1335"/>
      <c r="H1553" s="1335"/>
      <c r="I1553" s="1335"/>
      <c r="J1553" s="1335"/>
      <c r="K1553" s="1335"/>
      <c r="L1553" s="1335"/>
      <c r="M1553" s="1146"/>
      <c r="N1553" s="1103"/>
      <c r="O1553"/>
      <c r="P1553" s="159"/>
      <c r="Q1553" s="147"/>
      <c r="R1553" s="149"/>
    </row>
    <row r="1554" spans="1:24" ht="30" customHeight="1">
      <c r="A1554" s="1516" t="s">
        <v>314</v>
      </c>
      <c r="B1554" s="1517"/>
      <c r="C1554" s="1518"/>
      <c r="D1554" s="1270" t="s">
        <v>1151</v>
      </c>
      <c r="E1554" s="1371"/>
      <c r="F1554" s="1371"/>
      <c r="G1554" s="1371"/>
      <c r="H1554" s="1371"/>
      <c r="I1554" s="1371"/>
      <c r="J1554" s="1371"/>
      <c r="K1554" s="1371"/>
      <c r="L1554" s="1372"/>
      <c r="M1554" s="1146"/>
      <c r="N1554" s="1103"/>
      <c r="O1554"/>
      <c r="P1554" s="159"/>
      <c r="Q1554" s="147"/>
      <c r="R1554" s="149"/>
    </row>
    <row r="1555" spans="1:24" ht="45" customHeight="1">
      <c r="A1555" s="1516" t="s">
        <v>316</v>
      </c>
      <c r="B1555" s="1517"/>
      <c r="C1555" s="1518"/>
      <c r="D1555" s="1270" t="s">
        <v>1152</v>
      </c>
      <c r="E1555" s="1371"/>
      <c r="F1555" s="1371"/>
      <c r="G1555" s="1371"/>
      <c r="H1555" s="1371"/>
      <c r="I1555" s="1371"/>
      <c r="J1555" s="1371"/>
      <c r="K1555" s="1371"/>
      <c r="L1555" s="1372"/>
      <c r="M1555" s="1146"/>
      <c r="N1555" s="1103"/>
      <c r="O1555"/>
      <c r="P1555" s="159"/>
      <c r="Q1555" s="147"/>
      <c r="R1555" s="149"/>
    </row>
    <row r="1556" spans="1:24" ht="30" customHeight="1">
      <c r="A1556" s="1516" t="s">
        <v>317</v>
      </c>
      <c r="B1556" s="1517"/>
      <c r="C1556" s="1518"/>
      <c r="D1556" s="1270" t="s">
        <v>2666</v>
      </c>
      <c r="E1556" s="1371"/>
      <c r="F1556" s="1371"/>
      <c r="G1556" s="1371"/>
      <c r="H1556" s="1371"/>
      <c r="I1556" s="1371"/>
      <c r="J1556" s="1371"/>
      <c r="K1556" s="1371"/>
      <c r="L1556" s="1372"/>
      <c r="M1556" s="1146"/>
      <c r="N1556" s="282"/>
      <c r="O1556"/>
      <c r="P1556" s="159"/>
      <c r="Q1556" s="147"/>
      <c r="R1556" s="149"/>
    </row>
    <row r="1557" spans="1:24" ht="30" customHeight="1">
      <c r="A1557" s="1516" t="s">
        <v>318</v>
      </c>
      <c r="B1557" s="1517"/>
      <c r="C1557" s="1518"/>
      <c r="D1557" s="1270" t="s">
        <v>1153</v>
      </c>
      <c r="E1557" s="1371"/>
      <c r="F1557" s="1371"/>
      <c r="G1557" s="1371"/>
      <c r="H1557" s="1371"/>
      <c r="I1557" s="1371"/>
      <c r="J1557" s="1371"/>
      <c r="K1557" s="1371"/>
      <c r="L1557" s="1372"/>
      <c r="M1557" s="1146"/>
      <c r="O1557" s="159"/>
      <c r="P1557" s="147"/>
      <c r="Q1557" s="149"/>
      <c r="T1557" s="38"/>
      <c r="U1557" s="38"/>
      <c r="V1557" s="38"/>
      <c r="W1557" s="38"/>
      <c r="X1557" s="38"/>
    </row>
    <row r="1558" spans="1:24" s="38" customFormat="1" ht="105" customHeight="1">
      <c r="A1558" s="1516" t="s">
        <v>320</v>
      </c>
      <c r="B1558" s="1517"/>
      <c r="C1558" s="1518"/>
      <c r="D1558" s="1270" t="s">
        <v>2927</v>
      </c>
      <c r="E1558" s="1371"/>
      <c r="F1558" s="1371"/>
      <c r="G1558" s="1371"/>
      <c r="H1558" s="1371"/>
      <c r="I1558" s="1371"/>
      <c r="J1558" s="1371"/>
      <c r="K1558" s="1371"/>
      <c r="L1558" s="1372"/>
      <c r="M1558" s="1146"/>
      <c r="N1558" s="193"/>
      <c r="O1558" s="159"/>
      <c r="P1558" s="147"/>
      <c r="Q1558" s="149"/>
      <c r="T1558"/>
      <c r="U1558"/>
      <c r="V1558"/>
      <c r="W1558"/>
      <c r="X1558"/>
    </row>
    <row r="1559" spans="1:24" ht="30" customHeight="1">
      <c r="A1559" s="1513" t="s">
        <v>322</v>
      </c>
      <c r="B1559" s="1514"/>
      <c r="C1559" s="1515"/>
      <c r="D1559" s="1270" t="s">
        <v>2687</v>
      </c>
      <c r="E1559" s="1371"/>
      <c r="F1559" s="1371"/>
      <c r="G1559" s="1371"/>
      <c r="H1559" s="1371"/>
      <c r="I1559" s="1371"/>
      <c r="J1559" s="1371"/>
      <c r="K1559" s="1371"/>
      <c r="L1559" s="1372"/>
      <c r="M1559" s="1146"/>
      <c r="O1559" s="159"/>
      <c r="P1559" s="147"/>
      <c r="Q1559" s="149"/>
    </row>
    <row r="1560" spans="1:24" ht="30" customHeight="1">
      <c r="A1560" s="1516" t="s">
        <v>324</v>
      </c>
      <c r="B1560" s="1517"/>
      <c r="C1560" s="1518"/>
      <c r="D1560" s="1331" t="s">
        <v>424</v>
      </c>
      <c r="E1560" s="1256"/>
      <c r="F1560" s="1256"/>
      <c r="G1560" s="1256"/>
      <c r="H1560" s="1256"/>
      <c r="I1560" s="1256"/>
      <c r="J1560" s="1256"/>
      <c r="K1560" s="1256"/>
      <c r="L1560" s="1257"/>
      <c r="M1560" s="1146"/>
      <c r="O1560" s="159"/>
      <c r="P1560" s="147"/>
      <c r="Q1560" s="149"/>
    </row>
    <row r="1561" spans="1:24" ht="75" customHeight="1">
      <c r="A1561" s="1516" t="s">
        <v>325</v>
      </c>
      <c r="B1561" s="1517"/>
      <c r="C1561" s="1518"/>
      <c r="D1561" s="1270" t="s">
        <v>1154</v>
      </c>
      <c r="E1561" s="1371"/>
      <c r="F1561" s="1371"/>
      <c r="G1561" s="1371"/>
      <c r="H1561" s="1371"/>
      <c r="I1561" s="1371"/>
      <c r="J1561" s="1371"/>
      <c r="K1561" s="1371"/>
      <c r="L1561" s="1372"/>
      <c r="M1561" s="1146"/>
      <c r="O1561" s="159"/>
      <c r="P1561" s="147"/>
      <c r="Q1561" s="149"/>
    </row>
    <row r="1562" spans="1:24" ht="60" customHeight="1" thickBot="1">
      <c r="A1562" s="1513" t="s">
        <v>327</v>
      </c>
      <c r="B1562" s="1514"/>
      <c r="C1562" s="1515"/>
      <c r="D1562" s="1501" t="s">
        <v>2928</v>
      </c>
      <c r="E1562" s="1502"/>
      <c r="F1562" s="1502"/>
      <c r="G1562" s="1502"/>
      <c r="H1562" s="1502"/>
      <c r="I1562" s="1502"/>
      <c r="J1562" s="1502"/>
      <c r="K1562" s="1502"/>
      <c r="L1562" s="1503"/>
      <c r="M1562" s="1146"/>
      <c r="O1562" s="159"/>
      <c r="P1562" s="147"/>
      <c r="Q1562" s="149"/>
    </row>
    <row r="1563" spans="1:24" ht="30" customHeight="1" thickBot="1">
      <c r="A1563" s="1165"/>
      <c r="B1563" s="1166"/>
      <c r="C1563" s="1166"/>
      <c r="D1563" s="1166"/>
      <c r="E1563" s="1166"/>
      <c r="F1563" s="1166"/>
      <c r="G1563" s="1166"/>
      <c r="H1563" s="1166"/>
      <c r="I1563" s="1166"/>
      <c r="J1563" s="1166"/>
      <c r="K1563" s="1166"/>
      <c r="L1563" s="1167"/>
      <c r="M1563" s="1146"/>
      <c r="O1563" s="159"/>
      <c r="P1563" s="147"/>
      <c r="Q1563" s="149"/>
    </row>
    <row r="1564" spans="1:24" ht="30" customHeight="1">
      <c r="A1564" s="81" t="s">
        <v>280</v>
      </c>
      <c r="B1564" s="82">
        <v>2221</v>
      </c>
      <c r="C1564" s="1197" t="s">
        <v>1155</v>
      </c>
      <c r="D1564" s="1198"/>
      <c r="E1564" s="74" t="s">
        <v>282</v>
      </c>
      <c r="F1564" s="75" t="s">
        <v>8</v>
      </c>
      <c r="G1564" s="58" t="s">
        <v>290</v>
      </c>
      <c r="H1564" s="215">
        <v>12281</v>
      </c>
      <c r="I1564" s="74" t="s">
        <v>283</v>
      </c>
      <c r="J1564" s="1409" t="s">
        <v>2529</v>
      </c>
      <c r="K1564" s="1409"/>
      <c r="L1564" s="1410"/>
      <c r="M1564" s="1146"/>
      <c r="O1564" s="159"/>
      <c r="P1564" s="147"/>
      <c r="Q1564" s="149"/>
    </row>
    <row r="1565" spans="1:24" ht="30" customHeight="1">
      <c r="A1565" s="79" t="s">
        <v>304</v>
      </c>
      <c r="B1565" s="1201" t="s">
        <v>330</v>
      </c>
      <c r="C1565" s="1202"/>
      <c r="D1565" s="1203"/>
      <c r="E1565" s="150" t="s">
        <v>295</v>
      </c>
      <c r="F1565" s="150" t="s">
        <v>331</v>
      </c>
      <c r="G1565" s="1204" t="s">
        <v>332</v>
      </c>
      <c r="H1565" s="1205"/>
      <c r="I1565" s="77" t="s">
        <v>305</v>
      </c>
      <c r="J1565" s="77"/>
      <c r="K1565" s="1206" t="s">
        <v>297</v>
      </c>
      <c r="L1565" s="1207"/>
      <c r="M1565" s="1146"/>
      <c r="O1565" s="159"/>
      <c r="P1565" s="147"/>
      <c r="Q1565" s="149"/>
    </row>
    <row r="1566" spans="1:24" ht="30" customHeight="1">
      <c r="A1566" s="20" t="s">
        <v>459</v>
      </c>
      <c r="B1566" s="1162" t="s">
        <v>2668</v>
      </c>
      <c r="C1566" s="1163"/>
      <c r="D1566" s="1164"/>
      <c r="E1566" s="115">
        <f>154-2.36</f>
        <v>151.63999999999999</v>
      </c>
      <c r="F1566" s="20" t="s">
        <v>8</v>
      </c>
      <c r="G1566" s="206"/>
      <c r="H1566" s="20"/>
      <c r="I1566" s="20">
        <v>1.05</v>
      </c>
      <c r="J1566" s="20"/>
      <c r="K1566" s="153">
        <f>+E1566*I1566</f>
        <v>159.22199999999998</v>
      </c>
      <c r="L1566" s="20" t="s">
        <v>8</v>
      </c>
      <c r="M1566" s="1146"/>
      <c r="O1566" s="159"/>
      <c r="P1566" s="147"/>
      <c r="Q1566" s="149"/>
    </row>
    <row r="1567" spans="1:24" ht="30" customHeight="1">
      <c r="A1567" s="20" t="s">
        <v>461</v>
      </c>
      <c r="B1567" s="1176" t="s">
        <v>1156</v>
      </c>
      <c r="C1567" s="1177"/>
      <c r="D1567" s="1178"/>
      <c r="E1567" s="512">
        <v>166000</v>
      </c>
      <c r="F1567" s="20" t="s">
        <v>1106</v>
      </c>
      <c r="G1567" s="513">
        <f>+H1564</f>
        <v>12281</v>
      </c>
      <c r="H1567" s="329" t="s">
        <v>1102</v>
      </c>
      <c r="I1567" s="20">
        <v>1.07</v>
      </c>
      <c r="J1567" s="20"/>
      <c r="K1567" s="153">
        <f>+(E1567/G1567)*I1567</f>
        <v>14.462991613060828</v>
      </c>
      <c r="L1567" s="20" t="s">
        <v>8</v>
      </c>
      <c r="M1567" s="1146"/>
      <c r="O1567" s="159"/>
      <c r="P1567" s="147"/>
      <c r="Q1567" s="149"/>
    </row>
    <row r="1568" spans="1:24" ht="30" customHeight="1">
      <c r="A1568" s="20" t="s">
        <v>377</v>
      </c>
      <c r="B1568" s="1179" t="s">
        <v>1191</v>
      </c>
      <c r="C1568" s="1180"/>
      <c r="D1568" s="1180"/>
      <c r="E1568" s="153">
        <v>3.88</v>
      </c>
      <c r="F1568" s="317" t="s">
        <v>8</v>
      </c>
      <c r="G1568" s="395"/>
      <c r="H1568" s="329"/>
      <c r="I1568" s="20">
        <v>1.05</v>
      </c>
      <c r="J1568" s="20"/>
      <c r="K1568" s="153">
        <f>+E1568*I1568</f>
        <v>4.0739999999999998</v>
      </c>
      <c r="L1568" s="20" t="s">
        <v>8</v>
      </c>
      <c r="M1568" s="1146"/>
      <c r="O1568" s="159"/>
      <c r="P1568" s="147"/>
      <c r="Q1568" s="149"/>
    </row>
    <row r="1569" spans="1:24" ht="30" customHeight="1">
      <c r="A1569" s="20"/>
      <c r="B1569" s="1351" t="s">
        <v>2667</v>
      </c>
      <c r="C1569" s="1351"/>
      <c r="D1569" s="1351"/>
      <c r="E1569" s="153"/>
      <c r="F1569" s="20"/>
      <c r="G1569" s="395"/>
      <c r="H1569" s="329"/>
      <c r="I1569" s="20"/>
      <c r="J1569" s="20" t="s">
        <v>346</v>
      </c>
      <c r="K1569" s="153">
        <f>SUM(K1566:K1568)</f>
        <v>177.75899161306083</v>
      </c>
      <c r="L1569" s="20" t="s">
        <v>8</v>
      </c>
      <c r="M1569" s="1146"/>
      <c r="O1569" s="159"/>
      <c r="P1569" s="147"/>
      <c r="Q1569" s="149"/>
    </row>
    <row r="1570" spans="1:24" ht="30" customHeight="1">
      <c r="A1570" s="20"/>
      <c r="B1570" s="157"/>
      <c r="C1570" s="157"/>
      <c r="D1570" s="157"/>
      <c r="E1570" s="153"/>
      <c r="F1570" s="1174" t="s">
        <v>308</v>
      </c>
      <c r="G1570" s="1208" t="s">
        <v>309</v>
      </c>
      <c r="H1570" s="1208"/>
      <c r="I1570" s="1208"/>
      <c r="J1570" s="1208"/>
      <c r="K1570" s="123">
        <v>1.06</v>
      </c>
      <c r="L1570" s="10"/>
      <c r="M1570" s="1146"/>
      <c r="O1570" s="159"/>
      <c r="P1570" s="147"/>
      <c r="Q1570" s="149"/>
    </row>
    <row r="1571" spans="1:24" ht="30" customHeight="1">
      <c r="A1571" s="20"/>
      <c r="B1571" s="157"/>
      <c r="C1571" s="157"/>
      <c r="D1571" s="157"/>
      <c r="E1571" s="153"/>
      <c r="F1571" s="1175"/>
      <c r="G1571" s="1209" t="s">
        <v>310</v>
      </c>
      <c r="H1571" s="1209"/>
      <c r="I1571" s="1209"/>
      <c r="J1571" s="1209"/>
      <c r="K1571" s="123">
        <v>1.07</v>
      </c>
      <c r="L1571" s="10"/>
      <c r="M1571" s="1146"/>
      <c r="N1571" s="282"/>
      <c r="O1571" s="34"/>
      <c r="P1571" s="283"/>
      <c r="Q1571" s="282"/>
      <c r="R1571" s="284"/>
    </row>
    <row r="1572" spans="1:24" ht="30" customHeight="1">
      <c r="A1572" s="20"/>
      <c r="B1572" s="20"/>
      <c r="C1572" s="18"/>
      <c r="D1572" s="18"/>
      <c r="E1572" s="18"/>
      <c r="F1572" s="18"/>
      <c r="G1572" s="18"/>
      <c r="H1572" s="18"/>
      <c r="I1572" s="18"/>
      <c r="J1572" s="18" t="s">
        <v>289</v>
      </c>
      <c r="K1572" s="23">
        <f>+K1569*K1570/K1571</f>
        <v>176.09769262602288</v>
      </c>
      <c r="L1572" s="20" t="s">
        <v>8</v>
      </c>
      <c r="M1572" s="1146"/>
      <c r="N1572" s="282"/>
      <c r="O1572" s="34"/>
      <c r="P1572" s="283"/>
      <c r="Q1572" s="282"/>
      <c r="R1572" s="284"/>
      <c r="T1572" s="26"/>
      <c r="U1572" s="26"/>
      <c r="V1572" s="26"/>
      <c r="W1572" s="26"/>
      <c r="X1572" s="26"/>
    </row>
    <row r="1573" spans="1:24" s="26" customFormat="1" ht="30" customHeight="1" thickBot="1">
      <c r="A1573" s="20"/>
      <c r="B1573" s="20"/>
      <c r="C1573" s="18"/>
      <c r="D1573" s="18"/>
      <c r="E1573" s="18"/>
      <c r="F1573" s="18"/>
      <c r="G1573" s="160" t="s">
        <v>312</v>
      </c>
      <c r="H1573" s="18"/>
      <c r="I1573" s="18"/>
      <c r="J1573" s="139">
        <f>VLOOKUP(B1564,'Mil Cost Premiums for RUCs'!$A$4:$R$266,18,FALSE)</f>
        <v>1.1932356231980656</v>
      </c>
      <c r="K1573" s="23">
        <f>+K1572*J1573</f>
        <v>210.12604000435383</v>
      </c>
      <c r="L1573" s="20" t="s">
        <v>8</v>
      </c>
      <c r="M1573" s="1146"/>
      <c r="N1573" s="270"/>
      <c r="O1573" s="432"/>
      <c r="P1573" s="431"/>
      <c r="Q1573" s="433"/>
      <c r="R1573" s="1119"/>
      <c r="S1573" s="1119"/>
      <c r="T1573"/>
      <c r="U1573"/>
      <c r="V1573"/>
      <c r="W1573"/>
      <c r="X1573"/>
    </row>
    <row r="1574" spans="1:24" ht="30" customHeight="1" thickBot="1">
      <c r="A1574" s="1165"/>
      <c r="B1574" s="1166"/>
      <c r="C1574" s="1166"/>
      <c r="D1574" s="1166"/>
      <c r="E1574" s="1166"/>
      <c r="F1574" s="1166"/>
      <c r="G1574" s="1166"/>
      <c r="H1574" s="1166"/>
      <c r="I1574" s="1166"/>
      <c r="J1574" s="1166"/>
      <c r="K1574" s="1166"/>
      <c r="L1574" s="1167"/>
      <c r="M1574" s="1146"/>
      <c r="O1574" s="159"/>
      <c r="P1574" s="147"/>
      <c r="Q1574" s="149"/>
    </row>
    <row r="1575" spans="1:24" ht="30" customHeight="1">
      <c r="A1575" s="27" t="s">
        <v>280</v>
      </c>
      <c r="B1575" s="82">
        <v>2231</v>
      </c>
      <c r="C1575" s="1526" t="s">
        <v>1157</v>
      </c>
      <c r="D1575" s="1527"/>
      <c r="E1575" s="74" t="s">
        <v>282</v>
      </c>
      <c r="F1575" s="75" t="s">
        <v>8</v>
      </c>
      <c r="G1575" s="58" t="s">
        <v>290</v>
      </c>
      <c r="H1575" s="215">
        <v>52901</v>
      </c>
      <c r="I1575" s="74" t="s">
        <v>283</v>
      </c>
      <c r="J1575" s="1409" t="s">
        <v>2529</v>
      </c>
      <c r="K1575" s="1409"/>
      <c r="L1575" s="1410"/>
      <c r="M1575" s="1146"/>
      <c r="N1575" s="1103"/>
      <c r="O1575"/>
      <c r="P1575" s="159"/>
      <c r="Q1575" s="147"/>
      <c r="R1575" s="149"/>
    </row>
    <row r="1576" spans="1:24" ht="30" customHeight="1">
      <c r="A1576" s="37" t="s">
        <v>304</v>
      </c>
      <c r="B1576" s="1201" t="s">
        <v>330</v>
      </c>
      <c r="C1576" s="1202"/>
      <c r="D1576" s="1203"/>
      <c r="E1576" s="150" t="s">
        <v>295</v>
      </c>
      <c r="F1576" s="150" t="s">
        <v>331</v>
      </c>
      <c r="G1576" s="1303" t="s">
        <v>332</v>
      </c>
      <c r="H1576" s="1304"/>
      <c r="I1576" s="77" t="s">
        <v>305</v>
      </c>
      <c r="J1576" s="77"/>
      <c r="K1576" s="1206" t="s">
        <v>297</v>
      </c>
      <c r="L1576" s="1207"/>
      <c r="M1576" s="1146"/>
      <c r="N1576" s="1103"/>
      <c r="O1576"/>
      <c r="P1576" s="159"/>
      <c r="Q1576" s="147"/>
      <c r="R1576" s="149"/>
    </row>
    <row r="1577" spans="1:24" ht="30" customHeight="1">
      <c r="A1577" s="45" t="s">
        <v>459</v>
      </c>
      <c r="B1577" s="1176" t="s">
        <v>2686</v>
      </c>
      <c r="C1577" s="1177"/>
      <c r="D1577" s="1178"/>
      <c r="E1577" s="153">
        <f>148-2.36</f>
        <v>145.63999999999999</v>
      </c>
      <c r="F1577" s="20" t="s">
        <v>8</v>
      </c>
      <c r="G1577" s="206"/>
      <c r="H1577" s="20"/>
      <c r="I1577" s="20">
        <v>1.05</v>
      </c>
      <c r="J1577" s="20"/>
      <c r="K1577" s="153">
        <f>+E1577*I1577</f>
        <v>152.922</v>
      </c>
      <c r="L1577" s="20" t="s">
        <v>8</v>
      </c>
      <c r="M1577" s="1146"/>
      <c r="N1577" s="1103"/>
      <c r="O1577"/>
      <c r="P1577" s="159"/>
      <c r="Q1577" s="147"/>
      <c r="R1577" s="149"/>
    </row>
    <row r="1578" spans="1:24" ht="30" customHeight="1">
      <c r="A1578" s="45" t="s">
        <v>461</v>
      </c>
      <c r="B1578" s="1176" t="s">
        <v>1158</v>
      </c>
      <c r="C1578" s="1177"/>
      <c r="D1578" s="1178"/>
      <c r="E1578" s="512">
        <v>210000</v>
      </c>
      <c r="F1578" s="20" t="s">
        <v>1159</v>
      </c>
      <c r="G1578" s="513">
        <f>+H1575</f>
        <v>52901</v>
      </c>
      <c r="H1578" s="329" t="s">
        <v>1102</v>
      </c>
      <c r="I1578" s="20">
        <v>1.07</v>
      </c>
      <c r="J1578" s="20"/>
      <c r="K1578" s="153">
        <f>(E1578*2)/G1578*I1578</f>
        <v>8.4951135139222327</v>
      </c>
      <c r="L1578" s="20" t="s">
        <v>8</v>
      </c>
      <c r="M1578" s="1146"/>
      <c r="N1578" s="1103"/>
      <c r="O1578"/>
      <c r="P1578" s="159"/>
      <c r="Q1578" s="147"/>
      <c r="R1578" s="149"/>
    </row>
    <row r="1579" spans="1:24" ht="30" customHeight="1">
      <c r="A1579" s="45" t="s">
        <v>377</v>
      </c>
      <c r="B1579" s="1179" t="s">
        <v>1200</v>
      </c>
      <c r="C1579" s="1180"/>
      <c r="D1579" s="1181"/>
      <c r="E1579" s="153">
        <v>3.44</v>
      </c>
      <c r="F1579" s="317" t="s">
        <v>8</v>
      </c>
      <c r="G1579" s="395"/>
      <c r="H1579" s="329"/>
      <c r="I1579" s="20">
        <v>1.05</v>
      </c>
      <c r="J1579" s="20"/>
      <c r="K1579" s="153">
        <f>+E1579*I1579</f>
        <v>3.6120000000000001</v>
      </c>
      <c r="L1579" s="20" t="s">
        <v>8</v>
      </c>
      <c r="M1579" s="1146"/>
      <c r="N1579" s="1103"/>
      <c r="O1579"/>
      <c r="P1579" s="159"/>
      <c r="Q1579" s="147"/>
      <c r="R1579" s="149"/>
    </row>
    <row r="1580" spans="1:24" ht="30" customHeight="1">
      <c r="A1580" s="45"/>
      <c r="B1580" s="1176"/>
      <c r="C1580" s="1177"/>
      <c r="D1580" s="1178"/>
      <c r="E1580" s="153"/>
      <c r="F1580" s="20"/>
      <c r="G1580" s="395"/>
      <c r="H1580" s="329"/>
      <c r="I1580" s="20"/>
      <c r="J1580" s="20" t="s">
        <v>346</v>
      </c>
      <c r="K1580" s="153">
        <f>SUM(K1577:K1579)</f>
        <v>165.02911351392223</v>
      </c>
      <c r="L1580" s="20" t="s">
        <v>8</v>
      </c>
      <c r="M1580" s="1146"/>
      <c r="N1580" s="1103"/>
      <c r="O1580"/>
      <c r="P1580" s="159"/>
      <c r="Q1580" s="147"/>
      <c r="R1580" s="149"/>
    </row>
    <row r="1581" spans="1:24" ht="30" customHeight="1">
      <c r="A1581" s="45"/>
      <c r="B1581" s="157"/>
      <c r="C1581" s="157"/>
      <c r="D1581" s="157"/>
      <c r="E1581" s="153"/>
      <c r="F1581" s="1174" t="s">
        <v>308</v>
      </c>
      <c r="G1581" s="1171" t="s">
        <v>309</v>
      </c>
      <c r="H1581" s="1172"/>
      <c r="I1581" s="1172"/>
      <c r="J1581" s="1173"/>
      <c r="K1581" s="123">
        <v>1.08</v>
      </c>
      <c r="L1581" s="10"/>
      <c r="M1581" s="1146"/>
      <c r="N1581" s="55"/>
      <c r="O1581"/>
      <c r="P1581" s="159"/>
      <c r="Q1581" s="147"/>
      <c r="R1581" s="149"/>
    </row>
    <row r="1582" spans="1:24" ht="30" customHeight="1">
      <c r="A1582" s="45"/>
      <c r="B1582" s="157"/>
      <c r="C1582" s="157"/>
      <c r="D1582" s="157"/>
      <c r="E1582" s="153"/>
      <c r="F1582" s="1175"/>
      <c r="G1582" s="1168" t="s">
        <v>310</v>
      </c>
      <c r="H1582" s="1169"/>
      <c r="I1582" s="1169"/>
      <c r="J1582" s="1170"/>
      <c r="K1582" s="123">
        <v>1.07</v>
      </c>
      <c r="L1582" s="10"/>
      <c r="M1582" s="1146"/>
      <c r="N1582" s="1103"/>
      <c r="O1582"/>
      <c r="P1582" s="159"/>
      <c r="Q1582" s="147"/>
      <c r="R1582" s="149"/>
    </row>
    <row r="1583" spans="1:24" ht="30" customHeight="1">
      <c r="A1583" s="45"/>
      <c r="B1583" s="1212" t="s">
        <v>2688</v>
      </c>
      <c r="C1583" s="1213"/>
      <c r="D1583" s="1214"/>
      <c r="E1583" s="18"/>
      <c r="F1583" s="18"/>
      <c r="G1583" s="18"/>
      <c r="H1583" s="18"/>
      <c r="I1583" s="18"/>
      <c r="J1583" s="18" t="s">
        <v>289</v>
      </c>
      <c r="K1583" s="23">
        <f>+K1580*K1581/K1582</f>
        <v>166.57144167760373</v>
      </c>
      <c r="L1583" s="20" t="s">
        <v>8</v>
      </c>
      <c r="M1583" s="1146"/>
      <c r="N1583" s="1103"/>
      <c r="O1583"/>
      <c r="P1583" s="159"/>
      <c r="Q1583" s="147"/>
      <c r="R1583" s="149"/>
    </row>
    <row r="1584" spans="1:24" ht="30" customHeight="1" thickBot="1">
      <c r="A1584" s="45"/>
      <c r="B1584" s="20"/>
      <c r="C1584" s="18"/>
      <c r="D1584" s="18"/>
      <c r="E1584" s="18"/>
      <c r="F1584" s="18"/>
      <c r="G1584" s="160" t="s">
        <v>312</v>
      </c>
      <c r="H1584" s="18"/>
      <c r="I1584" s="18"/>
      <c r="J1584" s="139">
        <f>VLOOKUP(B1575,'Mil Cost Premiums for RUCs'!$A$4:$R$266,18,FALSE)</f>
        <v>1.1932356231980656</v>
      </c>
      <c r="K1584" s="23">
        <f>+K1583*J1584</f>
        <v>198.75897801717574</v>
      </c>
      <c r="L1584" s="20" t="s">
        <v>8</v>
      </c>
      <c r="M1584" s="1146"/>
      <c r="N1584" s="1103"/>
      <c r="O1584"/>
      <c r="P1584" s="159"/>
      <c r="Q1584" s="147"/>
      <c r="R1584" s="149"/>
    </row>
    <row r="1585" spans="1:24" ht="30" customHeight="1" thickBot="1">
      <c r="A1585" s="1165"/>
      <c r="B1585" s="1166"/>
      <c r="C1585" s="1166"/>
      <c r="D1585" s="1166"/>
      <c r="E1585" s="1166"/>
      <c r="F1585" s="1166"/>
      <c r="G1585" s="1166"/>
      <c r="H1585" s="1166"/>
      <c r="I1585" s="1166"/>
      <c r="J1585" s="1166"/>
      <c r="K1585" s="1166"/>
      <c r="L1585" s="1167"/>
      <c r="M1585" s="1146"/>
      <c r="N1585" s="1103"/>
      <c r="O1585"/>
      <c r="P1585" s="159"/>
      <c r="Q1585" s="147"/>
      <c r="R1585" s="149"/>
    </row>
    <row r="1586" spans="1:24" ht="30" customHeight="1">
      <c r="A1586" s="27" t="s">
        <v>280</v>
      </c>
      <c r="B1586" s="82">
        <v>2241</v>
      </c>
      <c r="C1586" s="1197" t="s">
        <v>1160</v>
      </c>
      <c r="D1586" s="1198"/>
      <c r="E1586" s="74" t="s">
        <v>282</v>
      </c>
      <c r="F1586" s="75" t="s">
        <v>8</v>
      </c>
      <c r="G1586" s="58" t="s">
        <v>290</v>
      </c>
      <c r="H1586" s="215">
        <v>75286</v>
      </c>
      <c r="I1586" s="74" t="s">
        <v>283</v>
      </c>
      <c r="J1586" s="1409" t="s">
        <v>2529</v>
      </c>
      <c r="K1586" s="1409"/>
      <c r="L1586" s="1410"/>
      <c r="M1586" s="1146"/>
      <c r="N1586" s="1103"/>
      <c r="O1586"/>
      <c r="P1586" s="159"/>
      <c r="Q1586" s="147"/>
      <c r="R1586" s="149"/>
      <c r="T1586" s="38"/>
      <c r="U1586" s="38"/>
      <c r="V1586" s="38"/>
      <c r="W1586" s="38"/>
      <c r="X1586" s="38"/>
    </row>
    <row r="1587" spans="1:24" s="38" customFormat="1" ht="30" customHeight="1">
      <c r="A1587" s="37" t="s">
        <v>304</v>
      </c>
      <c r="B1587" s="1201" t="s">
        <v>330</v>
      </c>
      <c r="C1587" s="1202"/>
      <c r="D1587" s="1203"/>
      <c r="E1587" s="150" t="s">
        <v>295</v>
      </c>
      <c r="F1587" s="150" t="s">
        <v>331</v>
      </c>
      <c r="G1587" s="1204" t="s">
        <v>332</v>
      </c>
      <c r="H1587" s="1205"/>
      <c r="I1587" s="77" t="s">
        <v>305</v>
      </c>
      <c r="J1587" s="77"/>
      <c r="K1587" s="1206" t="s">
        <v>297</v>
      </c>
      <c r="L1587" s="1207"/>
      <c r="M1587" s="1146"/>
      <c r="N1587" s="1103"/>
      <c r="P1587" s="159"/>
      <c r="Q1587" s="147"/>
      <c r="R1587" s="149"/>
      <c r="T1587"/>
      <c r="U1587"/>
      <c r="V1587"/>
      <c r="W1587"/>
      <c r="X1587"/>
    </row>
    <row r="1588" spans="1:24" ht="30" customHeight="1">
      <c r="A1588" s="45" t="s">
        <v>459</v>
      </c>
      <c r="B1588" s="1176" t="s">
        <v>2686</v>
      </c>
      <c r="C1588" s="1177"/>
      <c r="D1588" s="1178"/>
      <c r="E1588" s="153">
        <f>148-2.36</f>
        <v>145.63999999999999</v>
      </c>
      <c r="F1588" s="20" t="s">
        <v>8</v>
      </c>
      <c r="G1588" s="206"/>
      <c r="H1588" s="20"/>
      <c r="I1588" s="20">
        <v>1.05</v>
      </c>
      <c r="J1588" s="20"/>
      <c r="K1588" s="153">
        <f>+E1588*I1588</f>
        <v>152.922</v>
      </c>
      <c r="L1588" s="20" t="s">
        <v>8</v>
      </c>
      <c r="M1588" s="1146"/>
      <c r="N1588" s="1103"/>
      <c r="O1588"/>
      <c r="P1588" s="159"/>
      <c r="Q1588" s="147"/>
      <c r="R1588" s="149"/>
    </row>
    <row r="1589" spans="1:24" ht="30" customHeight="1">
      <c r="A1589" s="45" t="s">
        <v>461</v>
      </c>
      <c r="B1589" s="1176" t="s">
        <v>1158</v>
      </c>
      <c r="C1589" s="1177"/>
      <c r="D1589" s="1178"/>
      <c r="E1589" s="512">
        <v>210000</v>
      </c>
      <c r="F1589" s="20" t="s">
        <v>10</v>
      </c>
      <c r="G1589" s="513">
        <f>+H1586</f>
        <v>75286</v>
      </c>
      <c r="H1589" s="329" t="s">
        <v>1102</v>
      </c>
      <c r="I1589" s="20">
        <v>1.07</v>
      </c>
      <c r="J1589" s="20"/>
      <c r="K1589" s="153">
        <f>+E1589/G1589*I1589*2</f>
        <v>5.9692373083973118</v>
      </c>
      <c r="L1589" s="20" t="s">
        <v>8</v>
      </c>
      <c r="M1589" s="1146"/>
      <c r="N1589" s="1103"/>
      <c r="O1589"/>
      <c r="P1589" s="159"/>
      <c r="Q1589" s="147"/>
      <c r="R1589" s="149"/>
    </row>
    <row r="1590" spans="1:24" ht="30" customHeight="1">
      <c r="A1590" s="45" t="s">
        <v>377</v>
      </c>
      <c r="B1590" s="1179" t="s">
        <v>2691</v>
      </c>
      <c r="C1590" s="1180"/>
      <c r="D1590" s="1180"/>
      <c r="E1590" s="153">
        <v>2.9</v>
      </c>
      <c r="F1590" s="317" t="s">
        <v>8</v>
      </c>
      <c r="G1590" s="395"/>
      <c r="H1590" s="329"/>
      <c r="I1590" s="20">
        <v>1.05</v>
      </c>
      <c r="J1590" s="20"/>
      <c r="K1590" s="153">
        <f>+E1590*I1590</f>
        <v>3.0449999999999999</v>
      </c>
      <c r="L1590" s="20" t="s">
        <v>8</v>
      </c>
      <c r="M1590" s="1146"/>
      <c r="N1590" s="1103"/>
      <c r="O1590"/>
      <c r="P1590" s="159"/>
      <c r="Q1590" s="147"/>
      <c r="R1590" s="149"/>
    </row>
    <row r="1591" spans="1:24" ht="30" customHeight="1">
      <c r="A1591" s="45"/>
      <c r="B1591" s="1224"/>
      <c r="C1591" s="1224"/>
      <c r="D1591" s="1224"/>
      <c r="E1591" s="153"/>
      <c r="F1591" s="20"/>
      <c r="G1591" s="395"/>
      <c r="H1591" s="329"/>
      <c r="I1591" s="20"/>
      <c r="J1591" s="20" t="s">
        <v>346</v>
      </c>
      <c r="K1591" s="153">
        <f>SUM(K1588:K1590)</f>
        <v>161.9362373083973</v>
      </c>
      <c r="L1591" s="20" t="s">
        <v>8</v>
      </c>
      <c r="M1591" s="1146"/>
      <c r="N1591" s="1103"/>
      <c r="O1591"/>
      <c r="P1591" s="159"/>
      <c r="Q1591" s="147"/>
      <c r="R1591" s="149"/>
    </row>
    <row r="1592" spans="1:24" ht="30" customHeight="1">
      <c r="A1592" s="45"/>
      <c r="B1592" s="157"/>
      <c r="C1592" s="157"/>
      <c r="D1592" s="157"/>
      <c r="E1592" s="153"/>
      <c r="F1592" s="1174" t="s">
        <v>308</v>
      </c>
      <c r="G1592" s="1208" t="s">
        <v>309</v>
      </c>
      <c r="H1592" s="1208"/>
      <c r="I1592" s="1208"/>
      <c r="J1592" s="1208"/>
      <c r="K1592" s="123">
        <v>1.08</v>
      </c>
      <c r="L1592" s="10"/>
      <c r="M1592" s="1146"/>
      <c r="N1592" s="1103"/>
      <c r="O1592"/>
      <c r="P1592" s="159"/>
      <c r="Q1592" s="147"/>
      <c r="R1592" s="149"/>
    </row>
    <row r="1593" spans="1:24" ht="30" customHeight="1">
      <c r="A1593" s="45"/>
      <c r="B1593" s="157"/>
      <c r="C1593" s="157"/>
      <c r="D1593" s="157"/>
      <c r="E1593" s="153"/>
      <c r="F1593" s="1175"/>
      <c r="G1593" s="1209" t="s">
        <v>310</v>
      </c>
      <c r="H1593" s="1209"/>
      <c r="I1593" s="1209"/>
      <c r="J1593" s="1209"/>
      <c r="K1593" s="123">
        <v>1.07</v>
      </c>
      <c r="L1593" s="10"/>
      <c r="M1593" s="1146"/>
      <c r="N1593" s="282"/>
      <c r="O1593" s="34"/>
      <c r="P1593" s="283"/>
      <c r="Q1593" s="282"/>
      <c r="R1593" s="284"/>
    </row>
    <row r="1594" spans="1:24" ht="30" customHeight="1">
      <c r="A1594" s="45"/>
      <c r="B1594" s="1212" t="s">
        <v>2689</v>
      </c>
      <c r="C1594" s="1213"/>
      <c r="D1594" s="1213"/>
      <c r="E1594" s="1214"/>
      <c r="F1594" s="18"/>
      <c r="G1594" s="18"/>
      <c r="H1594" s="18"/>
      <c r="I1594" s="18"/>
      <c r="J1594" s="18" t="s">
        <v>289</v>
      </c>
      <c r="K1594" s="23">
        <f>+K1591*K1592/K1593</f>
        <v>163.44966008698043</v>
      </c>
      <c r="L1594" s="20" t="s">
        <v>8</v>
      </c>
      <c r="M1594" s="1146"/>
      <c r="N1594" s="282"/>
      <c r="O1594" s="34"/>
      <c r="P1594" s="283"/>
      <c r="Q1594" s="282"/>
      <c r="R1594" s="284"/>
    </row>
    <row r="1595" spans="1:24" ht="30" customHeight="1" thickBot="1">
      <c r="A1595" s="45"/>
      <c r="B1595" s="20"/>
      <c r="C1595" s="18"/>
      <c r="D1595" s="18"/>
      <c r="E1595" s="18"/>
      <c r="F1595" s="18"/>
      <c r="G1595" s="160" t="s">
        <v>312</v>
      </c>
      <c r="H1595" s="18"/>
      <c r="I1595" s="18"/>
      <c r="J1595" s="139">
        <f>VLOOKUP(B1586,'Mil Cost Premiums for RUCs'!$A$4:$R$266,18,FALSE)</f>
        <v>1.1932356231980656</v>
      </c>
      <c r="K1595" s="23">
        <f>+K1594*J1595</f>
        <v>195.03395701540009</v>
      </c>
      <c r="L1595" s="20" t="s">
        <v>8</v>
      </c>
      <c r="M1595" s="1146"/>
      <c r="N1595" s="969"/>
      <c r="O1595"/>
      <c r="P1595" s="159"/>
      <c r="Q1595" s="147"/>
      <c r="R1595" s="149"/>
    </row>
    <row r="1596" spans="1:24" ht="30" customHeight="1" thickBot="1">
      <c r="A1596" s="1165"/>
      <c r="B1596" s="1166"/>
      <c r="C1596" s="1166"/>
      <c r="D1596" s="1166"/>
      <c r="E1596" s="1166"/>
      <c r="F1596" s="1166"/>
      <c r="G1596" s="1166"/>
      <c r="H1596" s="1166"/>
      <c r="I1596" s="1166"/>
      <c r="J1596" s="1166"/>
      <c r="K1596" s="1166"/>
      <c r="L1596" s="1167"/>
      <c r="M1596" s="1146"/>
      <c r="N1596" s="282"/>
      <c r="O1596"/>
      <c r="P1596" s="159"/>
      <c r="Q1596" s="147"/>
      <c r="R1596" s="149"/>
    </row>
    <row r="1597" spans="1:24" ht="30" customHeight="1">
      <c r="A1597" s="27" t="s">
        <v>280</v>
      </c>
      <c r="B1597" s="28">
        <v>2242</v>
      </c>
      <c r="C1597" s="1393" t="s">
        <v>1161</v>
      </c>
      <c r="D1597" s="1394"/>
      <c r="E1597" s="74" t="s">
        <v>282</v>
      </c>
      <c r="F1597" s="75" t="s">
        <v>8</v>
      </c>
      <c r="G1597" s="58" t="s">
        <v>290</v>
      </c>
      <c r="H1597" s="215">
        <v>1576</v>
      </c>
      <c r="I1597" s="74" t="s">
        <v>283</v>
      </c>
      <c r="J1597" s="1409" t="s">
        <v>2529</v>
      </c>
      <c r="K1597" s="1409"/>
      <c r="L1597" s="1410"/>
      <c r="M1597" s="1146"/>
      <c r="N1597" s="282"/>
      <c r="O1597"/>
      <c r="P1597" s="159"/>
      <c r="Q1597" s="147"/>
      <c r="R1597" s="149"/>
    </row>
    <row r="1598" spans="1:24" ht="30" customHeight="1">
      <c r="A1598" s="37" t="s">
        <v>304</v>
      </c>
      <c r="B1598" s="1300" t="s">
        <v>330</v>
      </c>
      <c r="C1598" s="1301"/>
      <c r="D1598" s="1302"/>
      <c r="E1598" s="150" t="s">
        <v>295</v>
      </c>
      <c r="F1598" s="150" t="s">
        <v>331</v>
      </c>
      <c r="G1598" s="1204" t="s">
        <v>332</v>
      </c>
      <c r="H1598" s="1205"/>
      <c r="I1598" s="77" t="s">
        <v>305</v>
      </c>
      <c r="J1598" s="77"/>
      <c r="K1598" s="1206" t="s">
        <v>297</v>
      </c>
      <c r="L1598" s="1207"/>
      <c r="M1598" s="1146"/>
      <c r="O1598" s="159"/>
      <c r="P1598" s="147"/>
      <c r="Q1598" s="149"/>
      <c r="T1598" s="38"/>
      <c r="U1598" s="38"/>
      <c r="V1598" s="38"/>
      <c r="W1598" s="38"/>
      <c r="X1598" s="38"/>
    </row>
    <row r="1599" spans="1:24" s="38" customFormat="1" ht="30" customHeight="1">
      <c r="A1599" s="45" t="s">
        <v>459</v>
      </c>
      <c r="B1599" s="1176" t="s">
        <v>1162</v>
      </c>
      <c r="C1599" s="1177"/>
      <c r="D1599" s="1178"/>
      <c r="E1599" s="153">
        <v>76</v>
      </c>
      <c r="F1599" s="20" t="s">
        <v>8</v>
      </c>
      <c r="G1599" s="206"/>
      <c r="H1599" s="20"/>
      <c r="I1599" s="20">
        <v>1.05</v>
      </c>
      <c r="J1599" s="20"/>
      <c r="K1599" s="153">
        <f>+E1599*I1599</f>
        <v>79.8</v>
      </c>
      <c r="L1599" s="20" t="s">
        <v>8</v>
      </c>
      <c r="M1599" s="1146"/>
      <c r="N1599" s="55"/>
      <c r="O1599" s="159"/>
      <c r="P1599" s="147"/>
      <c r="Q1599" s="149"/>
      <c r="T1599"/>
      <c r="U1599"/>
      <c r="V1599"/>
      <c r="W1599"/>
      <c r="X1599"/>
    </row>
    <row r="1600" spans="1:24" ht="30" customHeight="1">
      <c r="A1600" s="45" t="s">
        <v>377</v>
      </c>
      <c r="B1600" s="1383" t="s">
        <v>1163</v>
      </c>
      <c r="C1600" s="1384"/>
      <c r="D1600" s="1384"/>
      <c r="E1600" s="153">
        <v>3.95</v>
      </c>
      <c r="F1600" s="317" t="s">
        <v>8</v>
      </c>
      <c r="G1600" s="395"/>
      <c r="H1600" s="329"/>
      <c r="I1600" s="20">
        <v>1.05</v>
      </c>
      <c r="J1600" s="20"/>
      <c r="K1600" s="153">
        <f>+E1600*I1600</f>
        <v>4.1475</v>
      </c>
      <c r="L1600" s="20" t="s">
        <v>8</v>
      </c>
      <c r="M1600" s="1146"/>
      <c r="O1600" s="159"/>
      <c r="P1600" s="147"/>
      <c r="Q1600" s="149"/>
    </row>
    <row r="1601" spans="1:18" ht="30" customHeight="1">
      <c r="A1601" s="45"/>
      <c r="B1601" s="1307"/>
      <c r="C1601" s="1307"/>
      <c r="D1601" s="1307"/>
      <c r="E1601" s="153"/>
      <c r="F1601" s="20"/>
      <c r="G1601" s="395"/>
      <c r="H1601" s="329"/>
      <c r="I1601" s="20"/>
      <c r="J1601" s="20" t="s">
        <v>346</v>
      </c>
      <c r="K1601" s="153">
        <f>SUM(K1599:K1600)</f>
        <v>83.947499999999991</v>
      </c>
      <c r="L1601" s="20" t="s">
        <v>8</v>
      </c>
      <c r="M1601" s="1146"/>
      <c r="O1601" s="159"/>
      <c r="P1601" s="147"/>
      <c r="Q1601" s="149"/>
    </row>
    <row r="1602" spans="1:18" ht="30" customHeight="1">
      <c r="A1602" s="45"/>
      <c r="B1602" s="189"/>
      <c r="C1602" s="189"/>
      <c r="D1602" s="189"/>
      <c r="E1602" s="153"/>
      <c r="F1602" s="1174" t="s">
        <v>308</v>
      </c>
      <c r="G1602" s="1208" t="s">
        <v>309</v>
      </c>
      <c r="H1602" s="1208"/>
      <c r="I1602" s="1208"/>
      <c r="J1602" s="1208"/>
      <c r="K1602" s="123">
        <v>1.06</v>
      </c>
      <c r="L1602" s="10"/>
      <c r="M1602" s="1146"/>
      <c r="O1602" s="159"/>
      <c r="P1602" s="147"/>
      <c r="Q1602" s="149"/>
    </row>
    <row r="1603" spans="1:18" ht="30" customHeight="1">
      <c r="A1603" s="45"/>
      <c r="B1603" s="189"/>
      <c r="C1603" s="189"/>
      <c r="D1603" s="189"/>
      <c r="E1603" s="153"/>
      <c r="F1603" s="1175"/>
      <c r="G1603" s="1209" t="s">
        <v>310</v>
      </c>
      <c r="H1603" s="1209"/>
      <c r="I1603" s="1209"/>
      <c r="J1603" s="1209"/>
      <c r="K1603" s="123">
        <v>1.07</v>
      </c>
      <c r="L1603" s="10"/>
      <c r="M1603" s="1146"/>
      <c r="O1603" s="159"/>
      <c r="P1603" s="147"/>
      <c r="Q1603" s="149"/>
    </row>
    <row r="1604" spans="1:18" ht="30" customHeight="1">
      <c r="A1604" s="45"/>
      <c r="B1604" s="45"/>
      <c r="C1604" s="46"/>
      <c r="D1604" s="46"/>
      <c r="E1604" s="18"/>
      <c r="F1604" s="18"/>
      <c r="G1604" s="18"/>
      <c r="H1604" s="18"/>
      <c r="I1604" s="18"/>
      <c r="J1604" s="20" t="s">
        <v>289</v>
      </c>
      <c r="K1604" s="23">
        <f>+K1601*K1602/K1603</f>
        <v>83.162943925233634</v>
      </c>
      <c r="L1604" s="20" t="s">
        <v>8</v>
      </c>
      <c r="M1604" s="1146"/>
      <c r="O1604" s="159"/>
      <c r="P1604" s="147"/>
      <c r="Q1604" s="149"/>
    </row>
    <row r="1605" spans="1:18" ht="30" customHeight="1" thickBot="1">
      <c r="A1605" s="256"/>
      <c r="B1605" s="1537"/>
      <c r="C1605" s="1538"/>
      <c r="D1605" s="1539"/>
      <c r="E1605" s="18"/>
      <c r="F1605" s="18"/>
      <c r="G1605" s="160" t="s">
        <v>312</v>
      </c>
      <c r="H1605" s="18"/>
      <c r="I1605" s="18"/>
      <c r="J1605" s="139">
        <f>VLOOKUP(B1597,'Mil Cost Premiums for RUCs'!$A$4:$R$266,18,FALSE)</f>
        <v>1.1199953840399997</v>
      </c>
      <c r="K1605" s="23">
        <f>+K1604*J1605</f>
        <v>93.142113319439005</v>
      </c>
      <c r="L1605" s="20" t="s">
        <v>8</v>
      </c>
      <c r="M1605" s="1146"/>
      <c r="O1605" s="159"/>
      <c r="P1605" s="147"/>
      <c r="Q1605" s="149"/>
    </row>
    <row r="1606" spans="1:18" ht="30" customHeight="1" thickBot="1">
      <c r="A1606" s="1165"/>
      <c r="B1606" s="1166"/>
      <c r="C1606" s="1166"/>
      <c r="D1606" s="1166"/>
      <c r="E1606" s="1166"/>
      <c r="F1606" s="1166"/>
      <c r="G1606" s="1166"/>
      <c r="H1606" s="1166"/>
      <c r="I1606" s="1166"/>
      <c r="J1606" s="1166"/>
      <c r="K1606" s="1166"/>
      <c r="L1606" s="1167"/>
      <c r="M1606" s="1146"/>
      <c r="O1606" s="159"/>
      <c r="P1606" s="147"/>
      <c r="Q1606" s="149"/>
    </row>
    <row r="1607" spans="1:18" ht="30" customHeight="1">
      <c r="A1607" s="27" t="s">
        <v>280</v>
      </c>
      <c r="B1607" s="82">
        <v>2251</v>
      </c>
      <c r="C1607" s="1197" t="s">
        <v>1164</v>
      </c>
      <c r="D1607" s="1198"/>
      <c r="E1607" s="74" t="s">
        <v>282</v>
      </c>
      <c r="F1607" s="75" t="s">
        <v>8</v>
      </c>
      <c r="G1607" s="58" t="s">
        <v>290</v>
      </c>
      <c r="H1607" s="215">
        <v>52270</v>
      </c>
      <c r="I1607" s="74" t="s">
        <v>283</v>
      </c>
      <c r="J1607" s="1409" t="s">
        <v>2529</v>
      </c>
      <c r="K1607" s="1409"/>
      <c r="L1607" s="1410"/>
      <c r="M1607" s="1146"/>
      <c r="O1607" s="159"/>
      <c r="P1607" s="147"/>
      <c r="Q1607" s="149"/>
    </row>
    <row r="1608" spans="1:18" ht="30" customHeight="1">
      <c r="A1608" s="37" t="s">
        <v>304</v>
      </c>
      <c r="B1608" s="1201" t="s">
        <v>330</v>
      </c>
      <c r="C1608" s="1202"/>
      <c r="D1608" s="1203"/>
      <c r="E1608" s="150" t="s">
        <v>295</v>
      </c>
      <c r="F1608" s="150" t="s">
        <v>331</v>
      </c>
      <c r="G1608" s="1204" t="s">
        <v>332</v>
      </c>
      <c r="H1608" s="1205"/>
      <c r="I1608" s="77" t="s">
        <v>305</v>
      </c>
      <c r="J1608" s="77"/>
      <c r="K1608" s="1206" t="s">
        <v>297</v>
      </c>
      <c r="L1608" s="1207"/>
      <c r="M1608" s="1146"/>
      <c r="O1608" s="159"/>
      <c r="P1608" s="147"/>
      <c r="Q1608" s="149"/>
    </row>
    <row r="1609" spans="1:18" ht="30" customHeight="1">
      <c r="A1609" s="45" t="s">
        <v>459</v>
      </c>
      <c r="B1609" s="1176" t="s">
        <v>2690</v>
      </c>
      <c r="C1609" s="1177"/>
      <c r="D1609" s="1178"/>
      <c r="E1609" s="153">
        <f>154-2.36</f>
        <v>151.63999999999999</v>
      </c>
      <c r="F1609" s="20" t="s">
        <v>8</v>
      </c>
      <c r="G1609" s="206"/>
      <c r="H1609" s="20"/>
      <c r="I1609" s="20">
        <v>1.05</v>
      </c>
      <c r="J1609" s="20"/>
      <c r="K1609" s="153">
        <f>+E1609*I1609</f>
        <v>159.22199999999998</v>
      </c>
      <c r="L1609" s="20" t="s">
        <v>8</v>
      </c>
      <c r="M1609" s="1146"/>
      <c r="O1609" s="159"/>
      <c r="P1609" s="147"/>
      <c r="Q1609" s="149"/>
    </row>
    <row r="1610" spans="1:18" ht="30" customHeight="1">
      <c r="A1610" s="45" t="s">
        <v>461</v>
      </c>
      <c r="B1610" s="1176" t="s">
        <v>1158</v>
      </c>
      <c r="C1610" s="1177"/>
      <c r="D1610" s="1178"/>
      <c r="E1610" s="23">
        <v>210000</v>
      </c>
      <c r="F1610" s="20" t="s">
        <v>10</v>
      </c>
      <c r="G1610" s="513">
        <f>+H1607</f>
        <v>52270</v>
      </c>
      <c r="H1610" s="329" t="s">
        <v>1102</v>
      </c>
      <c r="I1610" s="20">
        <v>1.07</v>
      </c>
      <c r="J1610" s="20"/>
      <c r="K1610" s="153">
        <f>+(E1610*2)/G1610*I1610</f>
        <v>8.5976659651807932</v>
      </c>
      <c r="L1610" s="20" t="s">
        <v>8</v>
      </c>
      <c r="M1610" s="1146"/>
      <c r="O1610" s="159"/>
      <c r="P1610" s="147"/>
      <c r="Q1610" s="149"/>
    </row>
    <row r="1611" spans="1:18" ht="30" customHeight="1">
      <c r="A1611" s="45" t="s">
        <v>461</v>
      </c>
      <c r="B1611" s="1176" t="s">
        <v>1165</v>
      </c>
      <c r="C1611" s="1163"/>
      <c r="D1611" s="1164"/>
      <c r="E1611" s="512">
        <f>(22.2+44.75)/2</f>
        <v>33.475000000000001</v>
      </c>
      <c r="F1611" s="20" t="s">
        <v>6</v>
      </c>
      <c r="G1611" s="515">
        <v>250</v>
      </c>
      <c r="H1611" s="329" t="s">
        <v>1166</v>
      </c>
      <c r="I1611" s="20">
        <v>1.07</v>
      </c>
      <c r="J1611" s="20"/>
      <c r="K1611" s="153">
        <f>+E1611*G1611/G1610*I1611</f>
        <v>0.1713136120145399</v>
      </c>
      <c r="L1611" s="20" t="s">
        <v>8</v>
      </c>
      <c r="M1611" s="1146"/>
      <c r="O1611" s="159"/>
      <c r="P1611" s="147"/>
      <c r="Q1611" s="149"/>
    </row>
    <row r="1612" spans="1:18" ht="30" customHeight="1">
      <c r="A1612" s="45" t="s">
        <v>377</v>
      </c>
      <c r="B1612" s="1179" t="s">
        <v>1167</v>
      </c>
      <c r="C1612" s="1180"/>
      <c r="D1612" s="1181"/>
      <c r="E1612" s="153">
        <v>3.16</v>
      </c>
      <c r="F1612" s="317" t="s">
        <v>8</v>
      </c>
      <c r="G1612" s="395"/>
      <c r="H1612" s="329"/>
      <c r="I1612" s="20">
        <v>1.05</v>
      </c>
      <c r="J1612" s="20"/>
      <c r="K1612" s="153">
        <f>+E1612*I1612</f>
        <v>3.3180000000000005</v>
      </c>
      <c r="L1612" s="20" t="s">
        <v>8</v>
      </c>
      <c r="M1612" s="1146"/>
      <c r="N1612" s="282"/>
      <c r="O1612" s="34"/>
      <c r="P1612" s="283"/>
      <c r="Q1612" s="282"/>
      <c r="R1612" s="284"/>
    </row>
    <row r="1613" spans="1:18" ht="30" customHeight="1">
      <c r="A1613" s="24" t="s">
        <v>377</v>
      </c>
      <c r="B1613" s="1162" t="s">
        <v>1111</v>
      </c>
      <c r="C1613" s="1163"/>
      <c r="D1613" s="1164"/>
      <c r="E1613" s="115">
        <f>+E1612*0.15</f>
        <v>0.47399999999999998</v>
      </c>
      <c r="F1613" s="317" t="s">
        <v>8</v>
      </c>
      <c r="G1613" s="130"/>
      <c r="H1613" s="115">
        <f>E1613</f>
        <v>0.47399999999999998</v>
      </c>
      <c r="I1613" s="20">
        <v>1.05</v>
      </c>
      <c r="J1613" s="20"/>
      <c r="K1613" s="14">
        <f>+H1613*I1613</f>
        <v>0.49769999999999998</v>
      </c>
      <c r="L1613" s="20" t="s">
        <v>8</v>
      </c>
      <c r="M1613" s="1146"/>
      <c r="N1613" s="282"/>
      <c r="O1613" s="34"/>
      <c r="P1613" s="283"/>
      <c r="Q1613" s="282"/>
      <c r="R1613" s="284"/>
    </row>
    <row r="1614" spans="1:18" ht="30" customHeight="1">
      <c r="A1614" s="24" t="s">
        <v>377</v>
      </c>
      <c r="B1614" s="1162" t="s">
        <v>987</v>
      </c>
      <c r="C1614" s="1163"/>
      <c r="D1614" s="1164"/>
      <c r="E1614" s="14">
        <f xml:space="preserve"> 0.52+((1.03+1.53)/2)</f>
        <v>1.8</v>
      </c>
      <c r="F1614" s="317" t="s">
        <v>8</v>
      </c>
      <c r="G1614" s="130"/>
      <c r="H1614" s="14">
        <f>0.53+1.57</f>
        <v>2.1</v>
      </c>
      <c r="I1614" s="20">
        <v>1.05</v>
      </c>
      <c r="J1614" s="20"/>
      <c r="K1614" s="14">
        <f>+H1614*I1614</f>
        <v>2.2050000000000001</v>
      </c>
      <c r="L1614" s="20" t="s">
        <v>8</v>
      </c>
      <c r="M1614" s="1146"/>
      <c r="O1614" s="159"/>
      <c r="P1614" s="147"/>
      <c r="Q1614" s="149"/>
    </row>
    <row r="1615" spans="1:18" ht="30" customHeight="1">
      <c r="A1615" s="45"/>
      <c r="B1615" s="1224"/>
      <c r="C1615" s="1224"/>
      <c r="D1615" s="1224"/>
      <c r="E1615" s="153"/>
      <c r="F1615" s="20"/>
      <c r="G1615" s="395"/>
      <c r="H1615" s="329"/>
      <c r="I1615" s="20"/>
      <c r="J1615" s="20" t="s">
        <v>346</v>
      </c>
      <c r="K1615" s="153">
        <f>SUM(K1609:K1614)</f>
        <v>174.01167957719534</v>
      </c>
      <c r="L1615" s="20" t="s">
        <v>8</v>
      </c>
      <c r="M1615" s="1146"/>
      <c r="O1615"/>
    </row>
    <row r="1616" spans="1:18" ht="30" customHeight="1">
      <c r="A1616" s="45"/>
      <c r="B1616" s="157"/>
      <c r="C1616" s="157"/>
      <c r="D1616" s="157"/>
      <c r="E1616" s="153"/>
      <c r="F1616" s="1174" t="s">
        <v>308</v>
      </c>
      <c r="G1616" s="1208" t="s">
        <v>309</v>
      </c>
      <c r="H1616" s="1208"/>
      <c r="I1616" s="1208"/>
      <c r="J1616" s="1208"/>
      <c r="K1616" s="123">
        <v>1.06</v>
      </c>
      <c r="L1616" s="10"/>
      <c r="M1616" s="1146"/>
      <c r="N1616" s="34"/>
      <c r="O1616"/>
    </row>
    <row r="1617" spans="1:24" ht="30" customHeight="1">
      <c r="A1617" s="45"/>
      <c r="B1617" s="157"/>
      <c r="C1617" s="157"/>
      <c r="D1617" s="157"/>
      <c r="E1617" s="153"/>
      <c r="F1617" s="1175"/>
      <c r="G1617" s="1209" t="s">
        <v>310</v>
      </c>
      <c r="H1617" s="1209"/>
      <c r="I1617" s="1209"/>
      <c r="J1617" s="1209"/>
      <c r="K1617" s="123">
        <v>1.07</v>
      </c>
      <c r="L1617" s="10"/>
      <c r="M1617" s="1146"/>
      <c r="O1617"/>
      <c r="T1617" s="38"/>
      <c r="U1617" s="38"/>
      <c r="V1617" s="38"/>
      <c r="W1617" s="38"/>
      <c r="X1617" s="38"/>
    </row>
    <row r="1618" spans="1:24" s="38" customFormat="1" ht="30" customHeight="1">
      <c r="A1618" s="45"/>
      <c r="B1618" s="1210"/>
      <c r="C1618" s="1211"/>
      <c r="D1618" s="1211"/>
      <c r="E1618" s="1022"/>
      <c r="F1618" s="18"/>
      <c r="G1618" s="18"/>
      <c r="H1618" s="18"/>
      <c r="I1618" s="18"/>
      <c r="J1618" s="20" t="s">
        <v>289</v>
      </c>
      <c r="K1618" s="23">
        <f>+K1615*K1616/K1617</f>
        <v>172.3854021979692</v>
      </c>
      <c r="L1618" s="20" t="s">
        <v>8</v>
      </c>
      <c r="M1618" s="1146"/>
      <c r="N1618" s="193"/>
      <c r="T1618"/>
      <c r="U1618"/>
      <c r="V1618"/>
      <c r="W1618"/>
      <c r="X1618"/>
    </row>
    <row r="1619" spans="1:24" ht="30" customHeight="1" thickBot="1">
      <c r="A1619" s="45"/>
      <c r="B1619" s="516"/>
      <c r="C1619" s="517"/>
      <c r="D1619" s="518"/>
      <c r="E1619" s="18"/>
      <c r="F1619" s="18"/>
      <c r="G1619" s="160" t="s">
        <v>312</v>
      </c>
      <c r="H1619" s="18"/>
      <c r="I1619" s="18"/>
      <c r="J1619" s="139">
        <f>VLOOKUP(B1607,'Mil Cost Premiums for RUCs'!$A$4:$R$266,18,FALSE)</f>
        <v>1.1932356231980656</v>
      </c>
      <c r="K1619" s="23">
        <f>+K1618*J1619</f>
        <v>205.69640282194297</v>
      </c>
      <c r="L1619" s="20" t="s">
        <v>8</v>
      </c>
      <c r="M1619" s="1146"/>
      <c r="O1619"/>
    </row>
    <row r="1620" spans="1:24" ht="30" customHeight="1" thickBot="1">
      <c r="A1620" s="1165"/>
      <c r="B1620" s="1166"/>
      <c r="C1620" s="1166"/>
      <c r="D1620" s="1166"/>
      <c r="E1620" s="1166"/>
      <c r="F1620" s="1166"/>
      <c r="G1620" s="1166"/>
      <c r="H1620" s="1166"/>
      <c r="I1620" s="1166"/>
      <c r="J1620" s="1166"/>
      <c r="K1620" s="1166"/>
      <c r="L1620" s="1167"/>
      <c r="M1620" s="1146"/>
      <c r="O1620"/>
    </row>
    <row r="1621" spans="1:24" ht="30" customHeight="1">
      <c r="A1621" s="27" t="s">
        <v>280</v>
      </c>
      <c r="B1621" s="82">
        <v>2252</v>
      </c>
      <c r="C1621" s="1197" t="s">
        <v>1168</v>
      </c>
      <c r="D1621" s="1198"/>
      <c r="E1621" s="74" t="s">
        <v>282</v>
      </c>
      <c r="F1621" s="75" t="s">
        <v>8</v>
      </c>
      <c r="G1621" s="58" t="s">
        <v>290</v>
      </c>
      <c r="H1621" s="215">
        <v>1504</v>
      </c>
      <c r="I1621" s="74" t="s">
        <v>283</v>
      </c>
      <c r="J1621" s="1409" t="s">
        <v>2529</v>
      </c>
      <c r="K1621" s="1409"/>
      <c r="L1621" s="1410"/>
      <c r="M1621" s="1146"/>
      <c r="O1621"/>
    </row>
    <row r="1622" spans="1:24" ht="30" customHeight="1">
      <c r="A1622" s="37" t="s">
        <v>304</v>
      </c>
      <c r="B1622" s="1201" t="s">
        <v>330</v>
      </c>
      <c r="C1622" s="1202"/>
      <c r="D1622" s="1203"/>
      <c r="E1622" s="150" t="s">
        <v>295</v>
      </c>
      <c r="F1622" s="150" t="s">
        <v>331</v>
      </c>
      <c r="G1622" s="1204" t="s">
        <v>332</v>
      </c>
      <c r="H1622" s="1205"/>
      <c r="I1622" s="77" t="s">
        <v>305</v>
      </c>
      <c r="J1622" s="77"/>
      <c r="K1622" s="1206" t="s">
        <v>297</v>
      </c>
      <c r="L1622" s="1207"/>
      <c r="M1622" s="1146"/>
      <c r="O1622"/>
    </row>
    <row r="1623" spans="1:24" ht="30" customHeight="1">
      <c r="A1623" s="45" t="s">
        <v>459</v>
      </c>
      <c r="B1623" s="1176" t="s">
        <v>2692</v>
      </c>
      <c r="C1623" s="1177"/>
      <c r="D1623" s="1178"/>
      <c r="E1623" s="153">
        <f>72.94-2.29</f>
        <v>70.649999999999991</v>
      </c>
      <c r="F1623" s="20" t="s">
        <v>8</v>
      </c>
      <c r="G1623" s="206"/>
      <c r="H1623" s="20"/>
      <c r="I1623" s="20">
        <v>1.05</v>
      </c>
      <c r="J1623" s="20"/>
      <c r="K1623" s="153">
        <f>+E1623*I1623</f>
        <v>74.18249999999999</v>
      </c>
      <c r="L1623" s="20" t="s">
        <v>8</v>
      </c>
      <c r="M1623" s="1146"/>
      <c r="O1623"/>
    </row>
    <row r="1624" spans="1:24" ht="30" customHeight="1">
      <c r="A1624" s="45" t="s">
        <v>377</v>
      </c>
      <c r="B1624" s="1179" t="s">
        <v>1169</v>
      </c>
      <c r="C1624" s="1180"/>
      <c r="D1624" s="1180"/>
      <c r="E1624" s="153">
        <v>4.6100000000000003</v>
      </c>
      <c r="F1624" s="317" t="s">
        <v>8</v>
      </c>
      <c r="G1624" s="395"/>
      <c r="H1624" s="329"/>
      <c r="I1624" s="20">
        <v>1.05</v>
      </c>
      <c r="J1624" s="20"/>
      <c r="K1624" s="153">
        <f>+E1624*I1624</f>
        <v>4.8405000000000005</v>
      </c>
      <c r="L1624" s="20" t="s">
        <v>8</v>
      </c>
      <c r="M1624" s="1146"/>
      <c r="O1624"/>
    </row>
    <row r="1625" spans="1:24" ht="30" customHeight="1">
      <c r="A1625" s="24" t="s">
        <v>377</v>
      </c>
      <c r="B1625" s="1162" t="s">
        <v>1111</v>
      </c>
      <c r="C1625" s="1163"/>
      <c r="D1625" s="1164"/>
      <c r="E1625" s="115">
        <f>+E1624*0.15</f>
        <v>0.6915</v>
      </c>
      <c r="F1625" s="317" t="s">
        <v>8</v>
      </c>
      <c r="G1625" s="130"/>
      <c r="H1625" s="14">
        <f>E1625</f>
        <v>0.6915</v>
      </c>
      <c r="I1625" s="20">
        <v>1.05</v>
      </c>
      <c r="J1625" s="20"/>
      <c r="K1625" s="14">
        <f>+H1625*I1625</f>
        <v>0.72607500000000003</v>
      </c>
      <c r="L1625" s="20" t="s">
        <v>8</v>
      </c>
      <c r="M1625" s="1146"/>
      <c r="O1625"/>
    </row>
    <row r="1626" spans="1:24" ht="30" customHeight="1">
      <c r="A1626" s="24" t="s">
        <v>377</v>
      </c>
      <c r="B1626" s="1162" t="s">
        <v>987</v>
      </c>
      <c r="C1626" s="1163"/>
      <c r="D1626" s="1164"/>
      <c r="E1626" s="14">
        <f xml:space="preserve"> 0.53+((1.06+1.57)/2)</f>
        <v>1.845</v>
      </c>
      <c r="F1626" s="317" t="s">
        <v>8</v>
      </c>
      <c r="G1626" s="130"/>
      <c r="H1626" s="14">
        <f>E1626</f>
        <v>1.845</v>
      </c>
      <c r="I1626" s="20">
        <v>1.05</v>
      </c>
      <c r="J1626" s="20"/>
      <c r="K1626" s="14">
        <f>+H1626*I1626</f>
        <v>1.9372500000000001</v>
      </c>
      <c r="L1626" s="20" t="s">
        <v>8</v>
      </c>
      <c r="M1626" s="1146"/>
      <c r="O1626"/>
    </row>
    <row r="1627" spans="1:24" ht="30" customHeight="1">
      <c r="A1627" s="45"/>
      <c r="B1627" s="1224"/>
      <c r="C1627" s="1224"/>
      <c r="D1627" s="1224"/>
      <c r="E1627" s="153"/>
      <c r="F1627" s="20"/>
      <c r="G1627" s="395"/>
      <c r="H1627" s="329"/>
      <c r="I1627" s="20"/>
      <c r="J1627" s="20" t="s">
        <v>346</v>
      </c>
      <c r="K1627" s="153">
        <f>SUM(K1623:K1626)</f>
        <v>81.686324999999997</v>
      </c>
      <c r="L1627" s="20" t="s">
        <v>8</v>
      </c>
      <c r="M1627" s="1146"/>
      <c r="O1627"/>
    </row>
    <row r="1628" spans="1:24" ht="30" customHeight="1">
      <c r="A1628" s="45"/>
      <c r="B1628" s="157"/>
      <c r="C1628" s="157"/>
      <c r="D1628" s="157"/>
      <c r="E1628" s="153"/>
      <c r="F1628" s="1174" t="s">
        <v>308</v>
      </c>
      <c r="G1628" s="1208" t="s">
        <v>309</v>
      </c>
      <c r="H1628" s="1208"/>
      <c r="I1628" s="1208"/>
      <c r="J1628" s="1208"/>
      <c r="K1628" s="123">
        <v>1.06</v>
      </c>
      <c r="L1628" s="10"/>
      <c r="M1628" s="1146"/>
      <c r="O1628"/>
    </row>
    <row r="1629" spans="1:24" ht="30" customHeight="1">
      <c r="A1629" s="45"/>
      <c r="B1629" s="157"/>
      <c r="C1629" s="157"/>
      <c r="D1629" s="157"/>
      <c r="E1629" s="153"/>
      <c r="F1629" s="1175"/>
      <c r="G1629" s="1209" t="s">
        <v>310</v>
      </c>
      <c r="H1629" s="1209"/>
      <c r="I1629" s="1209"/>
      <c r="J1629" s="1209"/>
      <c r="K1629" s="123">
        <v>1.07</v>
      </c>
      <c r="L1629" s="10"/>
      <c r="M1629" s="1146"/>
      <c r="O1629"/>
    </row>
    <row r="1630" spans="1:24" ht="30" customHeight="1">
      <c r="A1630" s="45"/>
      <c r="B1630" s="20"/>
      <c r="C1630" s="18"/>
      <c r="D1630" s="18"/>
      <c r="E1630" s="18"/>
      <c r="F1630" s="18"/>
      <c r="G1630" s="18"/>
      <c r="H1630" s="18"/>
      <c r="I1630" s="18"/>
      <c r="J1630" s="18" t="s">
        <v>289</v>
      </c>
      <c r="K1630" s="23">
        <f>+K1627*K1628/K1629</f>
        <v>80.922901401869154</v>
      </c>
      <c r="L1630" s="20" t="s">
        <v>8</v>
      </c>
      <c r="M1630" s="1146"/>
      <c r="O1630"/>
    </row>
    <row r="1631" spans="1:24" ht="30" customHeight="1" thickBot="1">
      <c r="A1631" s="45"/>
      <c r="B1631" s="1540" t="s">
        <v>2694</v>
      </c>
      <c r="C1631" s="1541"/>
      <c r="D1631" s="1542"/>
      <c r="E1631" s="18"/>
      <c r="F1631" s="18"/>
      <c r="G1631" s="160" t="s">
        <v>312</v>
      </c>
      <c r="H1631" s="18"/>
      <c r="I1631" s="18"/>
      <c r="J1631" s="139">
        <f>VLOOKUP(B1621,'Mil Cost Premiums for RUCs'!$A$4:$R$266,18,FALSE)</f>
        <v>1.1932356231980656</v>
      </c>
      <c r="K1631" s="23">
        <f>+K1630*J1631</f>
        <v>96.560088685254954</v>
      </c>
      <c r="L1631" s="20" t="s">
        <v>8</v>
      </c>
      <c r="M1631" s="1146"/>
      <c r="N1631" s="282"/>
      <c r="O1631" s="34"/>
      <c r="P1631" s="283"/>
      <c r="Q1631" s="282"/>
      <c r="R1631" s="284"/>
    </row>
    <row r="1632" spans="1:24" ht="30" customHeight="1" thickBot="1">
      <c r="A1632" s="1165"/>
      <c r="B1632" s="1166"/>
      <c r="C1632" s="1166"/>
      <c r="D1632" s="1166"/>
      <c r="E1632" s="1166"/>
      <c r="F1632" s="1166"/>
      <c r="G1632" s="1166"/>
      <c r="H1632" s="1166"/>
      <c r="I1632" s="1166"/>
      <c r="J1632" s="1166"/>
      <c r="K1632" s="1166"/>
      <c r="L1632" s="1167"/>
      <c r="M1632" s="1146"/>
      <c r="N1632" s="282"/>
      <c r="O1632" s="34"/>
      <c r="P1632" s="283"/>
      <c r="Q1632" s="282"/>
      <c r="R1632" s="284"/>
    </row>
    <row r="1633" spans="1:24" ht="30" customHeight="1">
      <c r="A1633" s="27" t="s">
        <v>280</v>
      </c>
      <c r="B1633" s="82">
        <v>2261</v>
      </c>
      <c r="C1633" s="1197" t="s">
        <v>1170</v>
      </c>
      <c r="D1633" s="1198"/>
      <c r="E1633" s="74" t="s">
        <v>282</v>
      </c>
      <c r="F1633" s="75" t="s">
        <v>8</v>
      </c>
      <c r="G1633" s="58" t="s">
        <v>290</v>
      </c>
      <c r="H1633" s="215">
        <v>6842</v>
      </c>
      <c r="I1633" s="74" t="s">
        <v>283</v>
      </c>
      <c r="J1633" s="1409" t="s">
        <v>2529</v>
      </c>
      <c r="K1633" s="1409"/>
      <c r="L1633" s="1410"/>
      <c r="M1633" s="1146"/>
      <c r="O1633"/>
    </row>
    <row r="1634" spans="1:24" ht="30" customHeight="1">
      <c r="A1634" s="37" t="s">
        <v>304</v>
      </c>
      <c r="B1634" s="1201" t="s">
        <v>330</v>
      </c>
      <c r="C1634" s="1202"/>
      <c r="D1634" s="1203"/>
      <c r="E1634" s="150" t="s">
        <v>295</v>
      </c>
      <c r="F1634" s="150" t="s">
        <v>331</v>
      </c>
      <c r="G1634" s="1204" t="s">
        <v>332</v>
      </c>
      <c r="H1634" s="1205"/>
      <c r="I1634" s="77" t="s">
        <v>305</v>
      </c>
      <c r="J1634" s="77"/>
      <c r="K1634" s="1206" t="s">
        <v>297</v>
      </c>
      <c r="L1634" s="1207"/>
      <c r="M1634" s="1146"/>
      <c r="O1634"/>
    </row>
    <row r="1635" spans="1:24" ht="30" customHeight="1">
      <c r="A1635" s="45" t="s">
        <v>459</v>
      </c>
      <c r="B1635" s="1176" t="s">
        <v>2693</v>
      </c>
      <c r="C1635" s="1177"/>
      <c r="D1635" s="1178"/>
      <c r="E1635" s="153">
        <f>154-2.36</f>
        <v>151.63999999999999</v>
      </c>
      <c r="F1635" s="20" t="s">
        <v>8</v>
      </c>
      <c r="G1635" s="206"/>
      <c r="H1635" s="20"/>
      <c r="I1635" s="20">
        <v>1.05</v>
      </c>
      <c r="J1635" s="20"/>
      <c r="K1635" s="153">
        <f>+E1635*I1635</f>
        <v>159.22199999999998</v>
      </c>
      <c r="L1635" s="20" t="s">
        <v>8</v>
      </c>
      <c r="M1635" s="1146"/>
      <c r="O1635"/>
    </row>
    <row r="1636" spans="1:24" ht="30" customHeight="1">
      <c r="A1636" s="45" t="s">
        <v>461</v>
      </c>
      <c r="B1636" s="1176" t="s">
        <v>1171</v>
      </c>
      <c r="C1636" s="1177"/>
      <c r="D1636" s="1178"/>
      <c r="E1636" s="23">
        <v>132000</v>
      </c>
      <c r="F1636" s="20" t="s">
        <v>10</v>
      </c>
      <c r="G1636" s="513">
        <f>+H1633</f>
        <v>6842</v>
      </c>
      <c r="H1636" s="329" t="s">
        <v>1102</v>
      </c>
      <c r="I1636" s="20">
        <v>1.07</v>
      </c>
      <c r="J1636" s="20"/>
      <c r="K1636" s="153">
        <f>+E1636/G1636*I1636</f>
        <v>20.643086816720256</v>
      </c>
      <c r="L1636" s="20" t="s">
        <v>8</v>
      </c>
      <c r="M1636" s="1146"/>
      <c r="O1636"/>
    </row>
    <row r="1637" spans="1:24" ht="30" customHeight="1">
      <c r="A1637" s="45" t="s">
        <v>461</v>
      </c>
      <c r="B1637" s="1176" t="s">
        <v>1165</v>
      </c>
      <c r="C1637" s="1163"/>
      <c r="D1637" s="1164"/>
      <c r="E1637" s="512">
        <f>(22.2+44.75)/2</f>
        <v>33.475000000000001</v>
      </c>
      <c r="F1637" s="20" t="s">
        <v>6</v>
      </c>
      <c r="G1637" s="515">
        <v>200</v>
      </c>
      <c r="H1637" s="329" t="s">
        <v>1166</v>
      </c>
      <c r="I1637" s="20">
        <v>1.07</v>
      </c>
      <c r="J1637" s="20"/>
      <c r="K1637" s="153">
        <f>+E1637*G1637/G1636*I1637</f>
        <v>1.0470111078631981</v>
      </c>
      <c r="L1637" s="20" t="s">
        <v>8</v>
      </c>
      <c r="M1637" s="1146"/>
      <c r="O1637"/>
    </row>
    <row r="1638" spans="1:24" ht="30" customHeight="1">
      <c r="A1638" s="45" t="s">
        <v>377</v>
      </c>
      <c r="B1638" s="1179" t="s">
        <v>1172</v>
      </c>
      <c r="C1638" s="1180"/>
      <c r="D1638" s="1180"/>
      <c r="E1638" s="153">
        <v>4.67</v>
      </c>
      <c r="F1638" s="317" t="s">
        <v>8</v>
      </c>
      <c r="G1638" s="395"/>
      <c r="H1638" s="329"/>
      <c r="I1638" s="20">
        <v>1.05</v>
      </c>
      <c r="J1638" s="20"/>
      <c r="K1638" s="153">
        <f>+E1638*I1638</f>
        <v>4.9035000000000002</v>
      </c>
      <c r="L1638" s="20" t="s">
        <v>8</v>
      </c>
      <c r="M1638" s="1146"/>
      <c r="O1638"/>
    </row>
    <row r="1639" spans="1:24" ht="30" customHeight="1">
      <c r="A1639" s="45" t="s">
        <v>377</v>
      </c>
      <c r="B1639" s="1162" t="s">
        <v>1111</v>
      </c>
      <c r="C1639" s="1163"/>
      <c r="D1639" s="1164"/>
      <c r="E1639" s="115">
        <f>+E1638*0.15</f>
        <v>0.70050000000000001</v>
      </c>
      <c r="F1639" s="317"/>
      <c r="G1639" s="395"/>
      <c r="H1639" s="329"/>
      <c r="I1639" s="20">
        <v>1.05</v>
      </c>
      <c r="J1639" s="20"/>
      <c r="K1639" s="153">
        <f>+E1639*I1639</f>
        <v>0.7355250000000001</v>
      </c>
      <c r="L1639" s="20" t="s">
        <v>8</v>
      </c>
      <c r="M1639" s="1146"/>
      <c r="O1639"/>
    </row>
    <row r="1640" spans="1:24" ht="30" customHeight="1">
      <c r="A1640" s="24" t="s">
        <v>377</v>
      </c>
      <c r="B1640" s="1162" t="s">
        <v>987</v>
      </c>
      <c r="C1640" s="1163"/>
      <c r="D1640" s="1164"/>
      <c r="E1640" s="14">
        <f xml:space="preserve"> 0.52+((1.03+1.53)/2)</f>
        <v>1.8</v>
      </c>
      <c r="F1640" s="317" t="s">
        <v>8</v>
      </c>
      <c r="G1640" s="130"/>
      <c r="H1640" s="14"/>
      <c r="I1640" s="20">
        <v>1.05</v>
      </c>
      <c r="J1640" s="20"/>
      <c r="K1640" s="14">
        <f>+E1640*I1640</f>
        <v>1.8900000000000001</v>
      </c>
      <c r="L1640" s="20" t="s">
        <v>8</v>
      </c>
      <c r="M1640" s="1146"/>
      <c r="O1640"/>
    </row>
    <row r="1641" spans="1:24" ht="30" customHeight="1">
      <c r="A1641" s="45"/>
      <c r="B1641" s="1224"/>
      <c r="C1641" s="1224"/>
      <c r="D1641" s="1224"/>
      <c r="E1641" s="153"/>
      <c r="F1641" s="20"/>
      <c r="G1641" s="395"/>
      <c r="H1641" s="329"/>
      <c r="I1641" s="20"/>
      <c r="J1641" s="20" t="s">
        <v>346</v>
      </c>
      <c r="K1641" s="153">
        <f>SUM(K1635:K1640)</f>
        <v>188.44112292458342</v>
      </c>
      <c r="L1641" s="20" t="s">
        <v>8</v>
      </c>
      <c r="M1641" s="1146"/>
      <c r="O1641"/>
    </row>
    <row r="1642" spans="1:24" ht="30" customHeight="1">
      <c r="A1642" s="45"/>
      <c r="B1642" s="157"/>
      <c r="C1642" s="157"/>
      <c r="D1642" s="157"/>
      <c r="E1642" s="153"/>
      <c r="F1642" s="1174" t="s">
        <v>308</v>
      </c>
      <c r="G1642" s="1208" t="s">
        <v>309</v>
      </c>
      <c r="H1642" s="1208"/>
      <c r="I1642" s="1208"/>
      <c r="J1642" s="1208"/>
      <c r="K1642" s="123">
        <v>1.06</v>
      </c>
      <c r="L1642" s="10"/>
      <c r="M1642" s="1146"/>
      <c r="O1642"/>
    </row>
    <row r="1643" spans="1:24" ht="30" customHeight="1">
      <c r="A1643" s="45"/>
      <c r="B1643" s="157"/>
      <c r="C1643" s="157"/>
      <c r="D1643" s="157"/>
      <c r="E1643" s="153"/>
      <c r="F1643" s="1175"/>
      <c r="G1643" s="1209" t="s">
        <v>310</v>
      </c>
      <c r="H1643" s="1209"/>
      <c r="I1643" s="1209"/>
      <c r="J1643" s="1209"/>
      <c r="K1643" s="123">
        <v>1.07</v>
      </c>
      <c r="L1643" s="10"/>
      <c r="M1643" s="1146"/>
      <c r="O1643"/>
    </row>
    <row r="1644" spans="1:24" ht="30" customHeight="1">
      <c r="A1644" s="45"/>
      <c r="B1644" s="1351" t="s">
        <v>2695</v>
      </c>
      <c r="C1644" s="1351"/>
      <c r="D1644" s="1351"/>
      <c r="E1644" s="18"/>
      <c r="F1644" s="18"/>
      <c r="G1644" s="18"/>
      <c r="H1644" s="18"/>
      <c r="I1644" s="18"/>
      <c r="J1644" s="18" t="s">
        <v>289</v>
      </c>
      <c r="K1644" s="23">
        <f>+K1641*K1642/K1643</f>
        <v>186.67999093463405</v>
      </c>
      <c r="L1644" s="20" t="s">
        <v>8</v>
      </c>
      <c r="M1644" s="1146"/>
      <c r="O1644"/>
    </row>
    <row r="1645" spans="1:24" ht="30" customHeight="1" thickBot="1">
      <c r="A1645" s="45"/>
      <c r="B1645" s="1543"/>
      <c r="C1645" s="1544"/>
      <c r="D1645" s="1545"/>
      <c r="E1645" s="18"/>
      <c r="F1645" s="18"/>
      <c r="G1645" s="160" t="s">
        <v>312</v>
      </c>
      <c r="H1645" s="18"/>
      <c r="I1645" s="18"/>
      <c r="J1645" s="139">
        <f>VLOOKUP(B1633,'Mil Cost Premiums for RUCs'!$A$4:$R$266,18,FALSE)</f>
        <v>1.1932356231980656</v>
      </c>
      <c r="K1645" s="23">
        <f>+K1644*J1645</f>
        <v>222.75321532149729</v>
      </c>
      <c r="L1645" s="20" t="s">
        <v>8</v>
      </c>
      <c r="M1645" s="1146"/>
      <c r="O1645"/>
    </row>
    <row r="1646" spans="1:24" ht="30" customHeight="1" thickBot="1">
      <c r="A1646" s="1165"/>
      <c r="B1646" s="1166"/>
      <c r="C1646" s="1166"/>
      <c r="D1646" s="1166"/>
      <c r="E1646" s="1166"/>
      <c r="F1646" s="1166"/>
      <c r="G1646" s="1166"/>
      <c r="H1646" s="1166"/>
      <c r="I1646" s="1166"/>
      <c r="J1646" s="1166"/>
      <c r="K1646" s="1166"/>
      <c r="L1646" s="1167"/>
      <c r="M1646" s="1146"/>
      <c r="O1646"/>
      <c r="T1646" s="38"/>
      <c r="U1646" s="38"/>
      <c r="V1646" s="38"/>
      <c r="W1646" s="38"/>
      <c r="X1646" s="38"/>
    </row>
    <row r="1647" spans="1:24" s="38" customFormat="1" ht="30" customHeight="1">
      <c r="A1647" s="27" t="s">
        <v>280</v>
      </c>
      <c r="B1647" s="82">
        <v>2262</v>
      </c>
      <c r="C1647" s="1197" t="s">
        <v>1173</v>
      </c>
      <c r="D1647" s="1198"/>
      <c r="E1647" s="74" t="s">
        <v>282</v>
      </c>
      <c r="F1647" s="75" t="s">
        <v>8</v>
      </c>
      <c r="G1647" s="58" t="s">
        <v>290</v>
      </c>
      <c r="H1647" s="215">
        <v>3236</v>
      </c>
      <c r="I1647" s="74" t="s">
        <v>283</v>
      </c>
      <c r="J1647" s="1409" t="s">
        <v>2529</v>
      </c>
      <c r="K1647" s="1409"/>
      <c r="L1647" s="1410"/>
      <c r="M1647" s="1146"/>
      <c r="N1647" s="193"/>
      <c r="T1647"/>
      <c r="U1647"/>
      <c r="V1647"/>
      <c r="W1647"/>
      <c r="X1647"/>
    </row>
    <row r="1648" spans="1:24" ht="30" customHeight="1">
      <c r="A1648" s="37" t="s">
        <v>304</v>
      </c>
      <c r="B1648" s="1201" t="s">
        <v>330</v>
      </c>
      <c r="C1648" s="1202"/>
      <c r="D1648" s="1203"/>
      <c r="E1648" s="150" t="s">
        <v>295</v>
      </c>
      <c r="F1648" s="150" t="s">
        <v>331</v>
      </c>
      <c r="G1648" s="1204" t="s">
        <v>332</v>
      </c>
      <c r="H1648" s="1205"/>
      <c r="I1648" s="77" t="s">
        <v>305</v>
      </c>
      <c r="J1648" s="77"/>
      <c r="K1648" s="1206" t="s">
        <v>297</v>
      </c>
      <c r="L1648" s="1207"/>
      <c r="M1648" s="1146"/>
      <c r="O1648"/>
    </row>
    <row r="1649" spans="1:24" ht="30" customHeight="1">
      <c r="A1649" s="45" t="s">
        <v>459</v>
      </c>
      <c r="B1649" s="1176" t="s">
        <v>1174</v>
      </c>
      <c r="C1649" s="1177"/>
      <c r="D1649" s="1178"/>
      <c r="E1649" s="153">
        <f>154-2.3629</f>
        <v>151.6371</v>
      </c>
      <c r="F1649" s="20" t="s">
        <v>8</v>
      </c>
      <c r="G1649" s="206"/>
      <c r="H1649" s="20"/>
      <c r="I1649" s="20">
        <v>1.05</v>
      </c>
      <c r="J1649" s="20"/>
      <c r="K1649" s="153">
        <f>+E1649*I1649</f>
        <v>159.21895500000002</v>
      </c>
      <c r="L1649" s="20" t="s">
        <v>8</v>
      </c>
      <c r="M1649" s="1146"/>
      <c r="O1649"/>
    </row>
    <row r="1650" spans="1:24" ht="30" customHeight="1">
      <c r="A1650" s="45" t="s">
        <v>377</v>
      </c>
      <c r="B1650" s="1179" t="s">
        <v>1163</v>
      </c>
      <c r="C1650" s="1180"/>
      <c r="D1650" s="1180"/>
      <c r="E1650" s="153">
        <v>3.95</v>
      </c>
      <c r="F1650" s="317" t="s">
        <v>8</v>
      </c>
      <c r="G1650" s="395"/>
      <c r="H1650" s="329"/>
      <c r="I1650" s="20">
        <v>1.05</v>
      </c>
      <c r="J1650" s="20"/>
      <c r="K1650" s="153">
        <f>+E1650*I1650</f>
        <v>4.1475</v>
      </c>
      <c r="L1650" s="20" t="s">
        <v>8</v>
      </c>
      <c r="M1650" s="1146"/>
      <c r="O1650"/>
    </row>
    <row r="1651" spans="1:24" ht="30" customHeight="1">
      <c r="A1651" s="24" t="s">
        <v>377</v>
      </c>
      <c r="B1651" s="1162" t="s">
        <v>1111</v>
      </c>
      <c r="C1651" s="1163"/>
      <c r="D1651" s="1164"/>
      <c r="E1651" s="115">
        <f>+E1650*0.15</f>
        <v>0.59250000000000003</v>
      </c>
      <c r="F1651" s="317" t="s">
        <v>8</v>
      </c>
      <c r="G1651" s="130"/>
      <c r="H1651" s="14">
        <f>E1651</f>
        <v>0.59250000000000003</v>
      </c>
      <c r="I1651" s="20">
        <v>1.05</v>
      </c>
      <c r="J1651" s="20"/>
      <c r="K1651" s="14">
        <f>+H1651*I1651</f>
        <v>0.62212500000000004</v>
      </c>
      <c r="L1651" s="20" t="s">
        <v>8</v>
      </c>
      <c r="M1651" s="1146"/>
      <c r="O1651"/>
    </row>
    <row r="1652" spans="1:24" ht="30" customHeight="1">
      <c r="A1652" s="24" t="s">
        <v>377</v>
      </c>
      <c r="B1652" s="1162" t="s">
        <v>987</v>
      </c>
      <c r="C1652" s="1163"/>
      <c r="D1652" s="1164"/>
      <c r="E1652" s="14">
        <f xml:space="preserve"> 0.52+((1.03+1.53)/2)</f>
        <v>1.8</v>
      </c>
      <c r="F1652" s="317" t="s">
        <v>8</v>
      </c>
      <c r="G1652" s="130"/>
      <c r="H1652" s="14">
        <f>E1652</f>
        <v>1.8</v>
      </c>
      <c r="I1652" s="20">
        <v>1.05</v>
      </c>
      <c r="J1652" s="20"/>
      <c r="K1652" s="14">
        <f>+H1652*I1652</f>
        <v>1.8900000000000001</v>
      </c>
      <c r="L1652" s="20" t="s">
        <v>8</v>
      </c>
      <c r="M1652" s="1146"/>
      <c r="O1652"/>
      <c r="T1652" s="44"/>
      <c r="U1652" s="34"/>
    </row>
    <row r="1653" spans="1:24" ht="30" customHeight="1">
      <c r="A1653" s="45"/>
      <c r="B1653" s="1224"/>
      <c r="C1653" s="1224"/>
      <c r="D1653" s="1224"/>
      <c r="E1653" s="153"/>
      <c r="F1653" s="20"/>
      <c r="G1653" s="395"/>
      <c r="H1653" s="329"/>
      <c r="I1653" s="20"/>
      <c r="J1653" s="20" t="s">
        <v>346</v>
      </c>
      <c r="K1653" s="153">
        <f>SUM(K1649:K1650)</f>
        <v>163.36645500000003</v>
      </c>
      <c r="L1653" s="20" t="s">
        <v>8</v>
      </c>
      <c r="M1653" s="1146"/>
      <c r="P1653" s="34"/>
      <c r="Q1653" s="34"/>
      <c r="R1653" s="34"/>
      <c r="S1653" s="44"/>
      <c r="T1653" s="44"/>
      <c r="U1653" s="34"/>
    </row>
    <row r="1654" spans="1:24" ht="30" customHeight="1">
      <c r="A1654" s="45"/>
      <c r="B1654" s="157"/>
      <c r="C1654" s="157"/>
      <c r="D1654" s="157"/>
      <c r="E1654" s="153"/>
      <c r="F1654" s="1174" t="s">
        <v>308</v>
      </c>
      <c r="G1654" s="1208" t="s">
        <v>309</v>
      </c>
      <c r="H1654" s="1208"/>
      <c r="I1654" s="1208"/>
      <c r="J1654" s="1208"/>
      <c r="K1654" s="123">
        <v>1.06</v>
      </c>
      <c r="L1654" s="10"/>
      <c r="M1654" s="1146"/>
      <c r="P1654" s="34"/>
      <c r="Q1654" s="34"/>
      <c r="R1654" s="34"/>
      <c r="S1654" s="44"/>
      <c r="T1654" s="32"/>
      <c r="U1654" s="32"/>
      <c r="V1654" s="32"/>
      <c r="W1654" s="32"/>
      <c r="X1654" s="32"/>
    </row>
    <row r="1655" spans="1:24" s="32" customFormat="1" ht="30" customHeight="1">
      <c r="A1655" s="45"/>
      <c r="B1655" s="157"/>
      <c r="C1655" s="157"/>
      <c r="D1655" s="157"/>
      <c r="E1655" s="153"/>
      <c r="F1655" s="1175"/>
      <c r="G1655" s="1209" t="s">
        <v>310</v>
      </c>
      <c r="H1655" s="1209"/>
      <c r="I1655" s="1209"/>
      <c r="J1655" s="1209"/>
      <c r="K1655" s="123">
        <v>1.07</v>
      </c>
      <c r="L1655" s="10"/>
      <c r="M1655" s="1146"/>
      <c r="N1655" s="125"/>
      <c r="O1655" s="33"/>
      <c r="T1655" s="38"/>
      <c r="U1655" s="38"/>
      <c r="V1655" s="38"/>
      <c r="W1655" s="38"/>
      <c r="X1655" s="38"/>
    </row>
    <row r="1656" spans="1:24" s="38" customFormat="1" ht="30" customHeight="1">
      <c r="A1656" s="45"/>
      <c r="B1656" s="20"/>
      <c r="C1656" s="18"/>
      <c r="D1656" s="18"/>
      <c r="E1656" s="18"/>
      <c r="F1656" s="18"/>
      <c r="G1656" s="18"/>
      <c r="H1656" s="18"/>
      <c r="I1656" s="18"/>
      <c r="J1656" s="18" t="s">
        <v>289</v>
      </c>
      <c r="K1656" s="23">
        <f>+K1653*K1654/K1655</f>
        <v>161.8396657009346</v>
      </c>
      <c r="L1656" s="20" t="s">
        <v>8</v>
      </c>
      <c r="M1656" s="1146"/>
      <c r="N1656" s="193"/>
      <c r="O1656" s="1119"/>
      <c r="T1656"/>
      <c r="U1656"/>
      <c r="V1656"/>
      <c r="W1656"/>
      <c r="X1656"/>
    </row>
    <row r="1657" spans="1:24" ht="30" customHeight="1" thickBot="1">
      <c r="A1657" s="45"/>
      <c r="B1657" s="20"/>
      <c r="C1657" s="18"/>
      <c r="D1657" s="18"/>
      <c r="E1657" s="18"/>
      <c r="F1657" s="18"/>
      <c r="G1657" s="160" t="s">
        <v>312</v>
      </c>
      <c r="H1657" s="18"/>
      <c r="I1657" s="18"/>
      <c r="J1657" s="139">
        <f>VLOOKUP(B1647,'Mil Cost Premiums for RUCs'!$A$4:$R$266,18,FALSE)</f>
        <v>1.0905505199999999</v>
      </c>
      <c r="K1657" s="23">
        <f>+K1656*J1657</f>
        <v>176.49433158678036</v>
      </c>
      <c r="L1657" s="20" t="s">
        <v>8</v>
      </c>
      <c r="M1657" s="1146"/>
      <c r="N1657" s="85"/>
    </row>
    <row r="1658" spans="1:24" ht="30" customHeight="1" thickBot="1">
      <c r="A1658" s="1165"/>
      <c r="B1658" s="1166"/>
      <c r="C1658" s="1166"/>
      <c r="D1658" s="1166"/>
      <c r="E1658" s="1166"/>
      <c r="F1658" s="1166"/>
      <c r="G1658" s="1166"/>
      <c r="H1658" s="1166"/>
      <c r="I1658" s="1166"/>
      <c r="J1658" s="1166"/>
      <c r="K1658" s="1166"/>
      <c r="L1658" s="1167"/>
      <c r="M1658" s="1146"/>
      <c r="N1658" s="282"/>
      <c r="O1658"/>
      <c r="P1658" s="159"/>
      <c r="Q1658" s="147"/>
      <c r="R1658" s="149"/>
    </row>
    <row r="1659" spans="1:24" ht="30" customHeight="1">
      <c r="A1659" s="81" t="s">
        <v>280</v>
      </c>
      <c r="B1659" s="82">
        <v>2264</v>
      </c>
      <c r="C1659" s="1228" t="s">
        <v>1175</v>
      </c>
      <c r="D1659" s="1229"/>
      <c r="E1659" s="74" t="s">
        <v>282</v>
      </c>
      <c r="F1659" s="75" t="s">
        <v>8</v>
      </c>
      <c r="G1659" s="58" t="s">
        <v>290</v>
      </c>
      <c r="H1659" s="104">
        <v>2780</v>
      </c>
      <c r="I1659" s="74" t="s">
        <v>283</v>
      </c>
      <c r="J1659" s="1199" t="s">
        <v>1176</v>
      </c>
      <c r="K1659" s="1230"/>
      <c r="L1659" s="1231"/>
      <c r="M1659" s="1146"/>
      <c r="N1659" s="282"/>
      <c r="O1659"/>
      <c r="P1659" s="159"/>
      <c r="Q1659" s="147"/>
      <c r="R1659" s="149"/>
    </row>
    <row r="1660" spans="1:24" ht="30" customHeight="1">
      <c r="A1660" s="77" t="s">
        <v>293</v>
      </c>
      <c r="B1660" s="1232" t="s">
        <v>284</v>
      </c>
      <c r="C1660" s="1232"/>
      <c r="D1660" s="1232"/>
      <c r="E1660" s="96" t="s">
        <v>295</v>
      </c>
      <c r="F1660" s="77" t="s">
        <v>294</v>
      </c>
      <c r="G1660" s="1365" t="s">
        <v>2</v>
      </c>
      <c r="H1660" s="1366"/>
      <c r="I1660" s="1233" t="s">
        <v>426</v>
      </c>
      <c r="J1660" s="1234"/>
      <c r="K1660" s="1303" t="s">
        <v>297</v>
      </c>
      <c r="L1660" s="1304"/>
      <c r="M1660" s="1146"/>
      <c r="O1660" s="159"/>
      <c r="P1660" s="147"/>
      <c r="Q1660" s="149"/>
      <c r="T1660" s="38"/>
      <c r="U1660" s="38"/>
      <c r="V1660" s="38"/>
      <c r="W1660" s="38"/>
      <c r="X1660" s="38"/>
    </row>
    <row r="1661" spans="1:24" s="38" customFormat="1" ht="30" customHeight="1">
      <c r="A1661" s="20">
        <v>21630</v>
      </c>
      <c r="B1661" s="1179" t="s">
        <v>1177</v>
      </c>
      <c r="C1661" s="1180"/>
      <c r="D1661" s="1181"/>
      <c r="E1661" s="153">
        <v>1064</v>
      </c>
      <c r="F1661" s="316">
        <v>82500</v>
      </c>
      <c r="G1661" s="286" t="s">
        <v>8</v>
      </c>
      <c r="H1661" s="286"/>
      <c r="I1661" s="1546">
        <f>+'2019 MILCON Inflation Table'!F8</f>
        <v>1.2987915407854984</v>
      </c>
      <c r="J1661" s="1547"/>
      <c r="K1661" s="106">
        <f>+E1661*I1661</f>
        <v>1381.9141993957703</v>
      </c>
      <c r="L1661" s="97" t="s">
        <v>8</v>
      </c>
      <c r="M1661" s="1146"/>
      <c r="N1661" s="193"/>
      <c r="O1661" s="159"/>
      <c r="P1661" s="147"/>
      <c r="Q1661" s="149"/>
      <c r="T1661"/>
      <c r="U1661"/>
      <c r="V1661"/>
      <c r="W1661"/>
      <c r="X1661"/>
    </row>
    <row r="1662" spans="1:24" ht="30" customHeight="1" thickBot="1">
      <c r="A1662" s="20"/>
      <c r="B1662" s="1179"/>
      <c r="C1662" s="1180"/>
      <c r="D1662" s="1181"/>
      <c r="E1662" s="181"/>
      <c r="F1662" s="338"/>
      <c r="G1662" s="181"/>
      <c r="H1662" s="339"/>
      <c r="I1662" s="18"/>
      <c r="J1662" s="18" t="s">
        <v>289</v>
      </c>
      <c r="K1662" s="107">
        <f>AVERAGE(K1661:K1661)</f>
        <v>1381.9141993957703</v>
      </c>
      <c r="L1662" s="97" t="s">
        <v>8</v>
      </c>
      <c r="M1662" s="1146"/>
      <c r="O1662" s="159"/>
      <c r="P1662" s="147"/>
      <c r="Q1662" s="149"/>
    </row>
    <row r="1663" spans="1:24" ht="30" customHeight="1" thickBot="1">
      <c r="A1663" s="1165"/>
      <c r="B1663" s="1166"/>
      <c r="C1663" s="1166"/>
      <c r="D1663" s="1166"/>
      <c r="E1663" s="1166"/>
      <c r="F1663" s="1166"/>
      <c r="G1663" s="1166"/>
      <c r="H1663" s="1166"/>
      <c r="I1663" s="1166"/>
      <c r="J1663" s="1166"/>
      <c r="K1663" s="1166"/>
      <c r="L1663" s="1167"/>
      <c r="M1663" s="1146"/>
      <c r="O1663" s="159"/>
      <c r="P1663" s="147"/>
      <c r="Q1663" s="149"/>
    </row>
    <row r="1664" spans="1:24" ht="30" customHeight="1">
      <c r="A1664" s="27" t="s">
        <v>280</v>
      </c>
      <c r="B1664" s="82">
        <v>2265</v>
      </c>
      <c r="C1664" s="1215" t="s">
        <v>1178</v>
      </c>
      <c r="D1664" s="1216"/>
      <c r="E1664" s="30" t="s">
        <v>282</v>
      </c>
      <c r="F1664" s="31" t="s">
        <v>10</v>
      </c>
      <c r="G1664" s="70" t="s">
        <v>281</v>
      </c>
      <c r="H1664" s="313">
        <v>1</v>
      </c>
      <c r="I1664" s="30" t="s">
        <v>283</v>
      </c>
      <c r="J1664" s="1199" t="s">
        <v>2569</v>
      </c>
      <c r="K1664" s="1230"/>
      <c r="L1664" s="1231"/>
      <c r="M1664" s="1146"/>
      <c r="O1664" s="159"/>
      <c r="P1664" s="147"/>
      <c r="Q1664" s="149"/>
    </row>
    <row r="1665" spans="1:21" ht="30" customHeight="1">
      <c r="A1665" s="37" t="s">
        <v>304</v>
      </c>
      <c r="B1665" s="1300" t="s">
        <v>330</v>
      </c>
      <c r="C1665" s="1301"/>
      <c r="D1665" s="1302"/>
      <c r="E1665" s="362" t="s">
        <v>295</v>
      </c>
      <c r="F1665" s="362" t="s">
        <v>331</v>
      </c>
      <c r="G1665" s="1356" t="s">
        <v>332</v>
      </c>
      <c r="H1665" s="1357"/>
      <c r="I1665" s="1233" t="s">
        <v>426</v>
      </c>
      <c r="J1665" s="1234"/>
      <c r="K1665" s="1312" t="s">
        <v>297</v>
      </c>
      <c r="L1665" s="1313"/>
      <c r="M1665" s="1146"/>
      <c r="O1665" s="159"/>
      <c r="P1665" s="147"/>
      <c r="Q1665" s="149"/>
    </row>
    <row r="1666" spans="1:21" ht="30" customHeight="1">
      <c r="A1666" s="45">
        <v>93210</v>
      </c>
      <c r="B1666" s="1176" t="s">
        <v>1179</v>
      </c>
      <c r="C1666" s="1177"/>
      <c r="D1666" s="1178"/>
      <c r="E1666" s="331">
        <v>38.6</v>
      </c>
      <c r="F1666" s="22" t="s">
        <v>285</v>
      </c>
      <c r="G1666" s="332">
        <f>+E1670/3</f>
        <v>5902.8888888888896</v>
      </c>
      <c r="H1666" s="333" t="s">
        <v>489</v>
      </c>
      <c r="I1666" s="1349">
        <f>+'2019 MILCON Inflation Table'!$F$18</f>
        <v>0.94232233454704462</v>
      </c>
      <c r="J1666" s="1350"/>
      <c r="K1666" s="428">
        <f>+E1666*G1666*I1666</f>
        <v>214709.56788029414</v>
      </c>
      <c r="L1666" s="22" t="s">
        <v>10</v>
      </c>
      <c r="M1666" s="1146"/>
      <c r="O1666" s="159"/>
      <c r="P1666" s="147"/>
      <c r="Q1666" s="149"/>
    </row>
    <row r="1667" spans="1:21" ht="30" customHeight="1">
      <c r="A1667" s="45">
        <v>93410</v>
      </c>
      <c r="B1667" s="1176" t="s">
        <v>1180</v>
      </c>
      <c r="C1667" s="1177"/>
      <c r="D1667" s="1178"/>
      <c r="E1667" s="331">
        <v>8.1999999999999993</v>
      </c>
      <c r="F1667" s="22" t="s">
        <v>285</v>
      </c>
      <c r="G1667" s="332">
        <f>+E1670/3</f>
        <v>5902.8888888888896</v>
      </c>
      <c r="H1667" s="333" t="s">
        <v>489</v>
      </c>
      <c r="I1667" s="1349">
        <f>+'2019 MILCON Inflation Table'!$F$18</f>
        <v>0.94232233454704462</v>
      </c>
      <c r="J1667" s="1350"/>
      <c r="K1667" s="428">
        <f>+E1667*G1667*I1667</f>
        <v>45611.877114466624</v>
      </c>
      <c r="L1667" s="22" t="s">
        <v>10</v>
      </c>
      <c r="M1667" s="1146"/>
      <c r="N1667" s="282"/>
      <c r="O1667" s="34"/>
      <c r="P1667" s="283"/>
      <c r="Q1667" s="282"/>
      <c r="R1667" s="284"/>
    </row>
    <row r="1668" spans="1:21" ht="30" customHeight="1">
      <c r="A1668" s="45">
        <v>93410</v>
      </c>
      <c r="B1668" s="1176" t="s">
        <v>1181</v>
      </c>
      <c r="C1668" s="1177"/>
      <c r="D1668" s="1178"/>
      <c r="E1668" s="331">
        <v>3.5</v>
      </c>
      <c r="F1668" s="22" t="s">
        <v>3</v>
      </c>
      <c r="G1668" s="332">
        <f>+E1670</f>
        <v>17708.666666666668</v>
      </c>
      <c r="H1668" s="333" t="s">
        <v>492</v>
      </c>
      <c r="I1668" s="1349">
        <f>+'2019 MILCON Inflation Table'!$F$18</f>
        <v>0.94232233454704462</v>
      </c>
      <c r="J1668" s="1350"/>
      <c r="K1668" s="428">
        <f>+E1668*G1668*I1668</f>
        <v>58405.452402670679</v>
      </c>
      <c r="L1668" s="22" t="s">
        <v>10</v>
      </c>
      <c r="M1668" s="1146"/>
      <c r="N1668" s="282"/>
      <c r="O1668" s="34"/>
      <c r="P1668" s="283"/>
      <c r="Q1668" s="282"/>
      <c r="R1668" s="284"/>
    </row>
    <row r="1669" spans="1:21" ht="30" customHeight="1">
      <c r="A1669" s="45">
        <v>93210</v>
      </c>
      <c r="B1669" s="1176" t="s">
        <v>1182</v>
      </c>
      <c r="C1669" s="1177"/>
      <c r="D1669" s="1178"/>
      <c r="E1669" s="331">
        <v>45.8</v>
      </c>
      <c r="F1669" s="22" t="s">
        <v>285</v>
      </c>
      <c r="G1669" s="332">
        <f>+E1670*2/9</f>
        <v>3935.2592592592596</v>
      </c>
      <c r="H1669" s="333" t="s">
        <v>489</v>
      </c>
      <c r="I1669" s="1349">
        <f>+'2019 MILCON Inflation Table'!$F$18</f>
        <v>0.94232233454704462</v>
      </c>
      <c r="J1669" s="1350"/>
      <c r="K1669" s="428">
        <f>+E1669*G1669*I1669</f>
        <v>169839.3473042741</v>
      </c>
      <c r="L1669" s="22" t="s">
        <v>10</v>
      </c>
      <c r="M1669" s="1146"/>
      <c r="O1669" s="159"/>
      <c r="P1669" s="147"/>
      <c r="Q1669" s="149"/>
    </row>
    <row r="1670" spans="1:21" ht="30" customHeight="1">
      <c r="A1670" s="45"/>
      <c r="B1670" s="1176" t="s">
        <v>2696</v>
      </c>
      <c r="C1670" s="1177"/>
      <c r="D1670" s="1178"/>
      <c r="E1670" s="520">
        <f>159378/9</f>
        <v>17708.666666666668</v>
      </c>
      <c r="F1670" s="22" t="s">
        <v>3</v>
      </c>
      <c r="G1670" s="521"/>
      <c r="H1670" s="333"/>
      <c r="I1670" s="20"/>
      <c r="J1670" s="20" t="s">
        <v>379</v>
      </c>
      <c r="K1670" s="241">
        <f>SUM(K1666:K1669)</f>
        <v>488566.24470170552</v>
      </c>
      <c r="L1670" s="20" t="s">
        <v>10</v>
      </c>
      <c r="M1670" s="1146"/>
      <c r="O1670" s="159"/>
      <c r="P1670" s="147"/>
      <c r="Q1670" s="149"/>
    </row>
    <row r="1671" spans="1:21" ht="30" customHeight="1" thickBot="1">
      <c r="A1671" s="46"/>
      <c r="B1671" s="1224" t="s">
        <v>2697</v>
      </c>
      <c r="C1671" s="1224"/>
      <c r="D1671" s="1224"/>
      <c r="E1671" s="520"/>
      <c r="F1671" s="22"/>
      <c r="G1671" s="20"/>
      <c r="H1671" s="20"/>
      <c r="I1671" s="20"/>
      <c r="J1671" s="37" t="s">
        <v>289</v>
      </c>
      <c r="K1671" s="241">
        <f>+K1670</f>
        <v>488566.24470170552</v>
      </c>
      <c r="L1671" s="20" t="s">
        <v>10</v>
      </c>
      <c r="M1671" s="1146"/>
      <c r="N1671" s="1103"/>
      <c r="O1671"/>
      <c r="P1671" s="159"/>
      <c r="Q1671" s="147"/>
      <c r="R1671" s="149"/>
    </row>
    <row r="1672" spans="1:21" ht="30" customHeight="1" thickBot="1">
      <c r="A1672" s="1165"/>
      <c r="B1672" s="1166"/>
      <c r="C1672" s="1166"/>
      <c r="D1672" s="1166"/>
      <c r="E1672" s="1166"/>
      <c r="F1672" s="1166"/>
      <c r="G1672" s="1166"/>
      <c r="H1672" s="1166"/>
      <c r="I1672" s="1166"/>
      <c r="J1672" s="1166"/>
      <c r="K1672" s="1166"/>
      <c r="L1672" s="1167"/>
      <c r="M1672" s="1146"/>
      <c r="N1672" s="1103"/>
      <c r="O1672"/>
      <c r="P1672" s="159"/>
      <c r="Q1672" s="147"/>
      <c r="R1672" s="149"/>
    </row>
    <row r="1673" spans="1:21" ht="30" customHeight="1">
      <c r="A1673" s="27" t="s">
        <v>280</v>
      </c>
      <c r="B1673" s="82">
        <v>2271</v>
      </c>
      <c r="C1673" s="1228" t="s">
        <v>1183</v>
      </c>
      <c r="D1673" s="1229"/>
      <c r="E1673" s="74" t="s">
        <v>282</v>
      </c>
      <c r="F1673" s="75" t="s">
        <v>8</v>
      </c>
      <c r="G1673" s="58" t="s">
        <v>290</v>
      </c>
      <c r="H1673" s="215">
        <v>63021</v>
      </c>
      <c r="I1673" s="74" t="s">
        <v>283</v>
      </c>
      <c r="J1673" s="1199" t="s">
        <v>2529</v>
      </c>
      <c r="K1673" s="1199"/>
      <c r="L1673" s="1200"/>
      <c r="M1673" s="1146"/>
      <c r="N1673" s="1103"/>
      <c r="O1673"/>
      <c r="P1673" s="159"/>
      <c r="Q1673" s="147"/>
      <c r="R1673" s="149"/>
    </row>
    <row r="1674" spans="1:21" ht="30" customHeight="1">
      <c r="A1674" s="37" t="s">
        <v>304</v>
      </c>
      <c r="B1674" s="1201" t="s">
        <v>330</v>
      </c>
      <c r="C1674" s="1202"/>
      <c r="D1674" s="1203"/>
      <c r="E1674" s="150" t="s">
        <v>295</v>
      </c>
      <c r="F1674" s="150" t="s">
        <v>331</v>
      </c>
      <c r="G1674" s="1204" t="s">
        <v>332</v>
      </c>
      <c r="H1674" s="1205"/>
      <c r="I1674" s="77" t="s">
        <v>305</v>
      </c>
      <c r="J1674" s="77"/>
      <c r="K1674" s="1206" t="s">
        <v>297</v>
      </c>
      <c r="L1674" s="1207"/>
      <c r="M1674" s="1146"/>
      <c r="N1674" s="1103"/>
      <c r="O1674"/>
      <c r="P1674" s="159"/>
      <c r="Q1674" s="147"/>
      <c r="R1674" s="149"/>
    </row>
    <row r="1675" spans="1:21" ht="30" customHeight="1">
      <c r="A1675" s="45" t="s">
        <v>979</v>
      </c>
      <c r="B1675" s="1176" t="s">
        <v>2698</v>
      </c>
      <c r="C1675" s="1177"/>
      <c r="D1675" s="1178"/>
      <c r="E1675" s="153">
        <f>76.5-2.25</f>
        <v>74.25</v>
      </c>
      <c r="F1675" s="20" t="s">
        <v>8</v>
      </c>
      <c r="G1675" s="206"/>
      <c r="H1675" s="20"/>
      <c r="I1675" s="20">
        <v>1.05</v>
      </c>
      <c r="J1675" s="326"/>
      <c r="K1675" s="153">
        <f>+E1675*I1675</f>
        <v>77.962500000000006</v>
      </c>
      <c r="L1675" s="20" t="s">
        <v>8</v>
      </c>
      <c r="M1675" s="1146"/>
      <c r="N1675" s="482"/>
      <c r="O1675"/>
      <c r="P1675" s="159"/>
      <c r="Q1675" s="147"/>
      <c r="R1675" s="149"/>
    </row>
    <row r="1676" spans="1:21" ht="30" customHeight="1">
      <c r="A1676" s="45" t="s">
        <v>377</v>
      </c>
      <c r="B1676" s="1179" t="s">
        <v>1184</v>
      </c>
      <c r="C1676" s="1180"/>
      <c r="D1676" s="1180"/>
      <c r="E1676" s="153">
        <v>3.04</v>
      </c>
      <c r="F1676" s="317" t="s">
        <v>8</v>
      </c>
      <c r="G1676" s="395"/>
      <c r="H1676" s="329"/>
      <c r="I1676" s="20">
        <v>1.05</v>
      </c>
      <c r="J1676" s="326"/>
      <c r="K1676" s="153">
        <f>+E1676*I1676</f>
        <v>3.1920000000000002</v>
      </c>
      <c r="L1676" s="20" t="s">
        <v>8</v>
      </c>
      <c r="M1676" s="1146"/>
      <c r="N1676" s="1103"/>
      <c r="O1676"/>
      <c r="P1676" s="159"/>
      <c r="Q1676" s="147"/>
      <c r="R1676" s="149"/>
    </row>
    <row r="1677" spans="1:21" ht="30" customHeight="1">
      <c r="A1677" s="45"/>
      <c r="B1677" s="1224"/>
      <c r="C1677" s="1224"/>
      <c r="D1677" s="1224"/>
      <c r="E1677" s="153"/>
      <c r="F1677" s="20"/>
      <c r="G1677" s="395"/>
      <c r="H1677" s="329"/>
      <c r="I1677" s="20"/>
      <c r="J1677" s="20" t="s">
        <v>346</v>
      </c>
      <c r="K1677" s="153">
        <f>SUM(K1675:K1676)</f>
        <v>81.154500000000013</v>
      </c>
      <c r="L1677" s="20" t="s">
        <v>8</v>
      </c>
      <c r="M1677" s="1146"/>
      <c r="N1677" s="1103"/>
      <c r="O1677"/>
      <c r="P1677" s="159"/>
      <c r="Q1677" s="147"/>
      <c r="R1677" s="149"/>
    </row>
    <row r="1678" spans="1:21" ht="30" customHeight="1">
      <c r="A1678" s="45"/>
      <c r="B1678" s="157"/>
      <c r="C1678" s="157"/>
      <c r="D1678" s="157"/>
      <c r="E1678" s="153"/>
      <c r="F1678" s="1174" t="s">
        <v>308</v>
      </c>
      <c r="G1678" s="1208" t="s">
        <v>309</v>
      </c>
      <c r="H1678" s="1208"/>
      <c r="I1678" s="1208"/>
      <c r="J1678" s="1208"/>
      <c r="K1678" s="123">
        <v>1.08</v>
      </c>
      <c r="L1678" s="10"/>
      <c r="M1678" s="1146"/>
      <c r="N1678" s="1103"/>
      <c r="O1678"/>
      <c r="P1678" s="159"/>
      <c r="Q1678" s="147"/>
      <c r="R1678" s="149"/>
    </row>
    <row r="1679" spans="1:21" ht="30" customHeight="1">
      <c r="A1679" s="45"/>
      <c r="B1679" s="157"/>
      <c r="C1679" s="157"/>
      <c r="D1679" s="157"/>
      <c r="E1679" s="153"/>
      <c r="F1679" s="1175"/>
      <c r="G1679" s="1209" t="s">
        <v>310</v>
      </c>
      <c r="H1679" s="1209"/>
      <c r="I1679" s="1209"/>
      <c r="J1679" s="1209"/>
      <c r="K1679" s="123">
        <v>1.07</v>
      </c>
      <c r="L1679" s="10"/>
      <c r="M1679" s="1146"/>
      <c r="N1679" s="1103"/>
      <c r="O1679"/>
      <c r="P1679" s="159"/>
      <c r="Q1679" s="147"/>
      <c r="R1679" s="149"/>
      <c r="T1679" s="44"/>
      <c r="U1679" s="34"/>
    </row>
    <row r="1680" spans="1:21" ht="30" customHeight="1">
      <c r="A1680" s="45"/>
      <c r="B1680" s="20"/>
      <c r="C1680" s="18"/>
      <c r="D1680" s="18"/>
      <c r="E1680" s="18"/>
      <c r="F1680" s="18"/>
      <c r="G1680" s="18"/>
      <c r="H1680" s="18"/>
      <c r="I1680" s="18"/>
      <c r="J1680" s="18" t="s">
        <v>289</v>
      </c>
      <c r="K1680" s="23">
        <f>+K1677*K1678/K1679</f>
        <v>81.912953271028044</v>
      </c>
      <c r="L1680" s="20" t="s">
        <v>8</v>
      </c>
      <c r="M1680" s="1146"/>
      <c r="P1680" s="34"/>
      <c r="Q1680" s="34"/>
      <c r="R1680" s="34"/>
      <c r="S1680" s="44"/>
      <c r="T1680" s="44"/>
      <c r="U1680" s="34"/>
    </row>
    <row r="1681" spans="1:24" ht="30" customHeight="1" thickBot="1">
      <c r="A1681" s="45"/>
      <c r="B1681" s="45"/>
      <c r="C1681" s="46"/>
      <c r="D1681" s="46"/>
      <c r="E1681" s="46"/>
      <c r="F1681" s="46"/>
      <c r="G1681" s="176" t="s">
        <v>312</v>
      </c>
      <c r="H1681" s="46"/>
      <c r="I1681" s="46"/>
      <c r="J1681" s="178">
        <f>VLOOKUP(B1673,'Mil Cost Premiums for RUCs'!$A$4:$R$266,18,FALSE)</f>
        <v>1.1932356231980656</v>
      </c>
      <c r="K1681" s="21">
        <f>+K1680*J1681</f>
        <v>97.741453844349181</v>
      </c>
      <c r="L1681" s="45" t="s">
        <v>8</v>
      </c>
      <c r="M1681" s="1146"/>
      <c r="P1681" s="34"/>
      <c r="Q1681" s="34"/>
      <c r="R1681" s="34"/>
      <c r="S1681" s="44"/>
      <c r="T1681" s="32"/>
      <c r="U1681" s="32"/>
      <c r="V1681" s="32"/>
      <c r="W1681" s="32"/>
      <c r="X1681" s="32"/>
    </row>
    <row r="1682" spans="1:24" s="32" customFormat="1" ht="30" customHeight="1" thickBot="1">
      <c r="A1682" s="1165"/>
      <c r="B1682" s="1166"/>
      <c r="C1682" s="1166"/>
      <c r="D1682" s="1166"/>
      <c r="E1682" s="1166"/>
      <c r="F1682" s="1166"/>
      <c r="G1682" s="1166"/>
      <c r="H1682" s="1166"/>
      <c r="I1682" s="1166"/>
      <c r="J1682" s="1166"/>
      <c r="K1682" s="1166"/>
      <c r="L1682" s="1167"/>
      <c r="M1682" s="1146"/>
      <c r="N1682" s="125"/>
      <c r="O1682" s="33"/>
      <c r="T1682" s="38"/>
      <c r="U1682" s="38"/>
      <c r="V1682" s="38"/>
      <c r="W1682" s="38"/>
      <c r="X1682" s="38"/>
    </row>
    <row r="1683" spans="1:24" s="38" customFormat="1" ht="30" customHeight="1">
      <c r="A1683" s="27" t="s">
        <v>280</v>
      </c>
      <c r="B1683" s="82">
        <v>2281</v>
      </c>
      <c r="C1683" s="1197" t="s">
        <v>1185</v>
      </c>
      <c r="D1683" s="1198"/>
      <c r="E1683" s="74" t="s">
        <v>282</v>
      </c>
      <c r="F1683" s="75" t="s">
        <v>8</v>
      </c>
      <c r="G1683" s="58" t="s">
        <v>290</v>
      </c>
      <c r="H1683" s="215">
        <v>9066</v>
      </c>
      <c r="I1683" s="74" t="s">
        <v>283</v>
      </c>
      <c r="J1683" s="1199" t="s">
        <v>2529</v>
      </c>
      <c r="K1683" s="1199"/>
      <c r="L1683" s="1200"/>
      <c r="M1683" s="1146"/>
      <c r="N1683" s="193"/>
      <c r="O1683" s="1119"/>
      <c r="T1683"/>
      <c r="U1683"/>
      <c r="V1683"/>
      <c r="W1683"/>
      <c r="X1683"/>
    </row>
    <row r="1684" spans="1:24" ht="30" customHeight="1">
      <c r="A1684" s="37" t="s">
        <v>304</v>
      </c>
      <c r="B1684" s="1201" t="s">
        <v>330</v>
      </c>
      <c r="C1684" s="1202"/>
      <c r="D1684" s="1203"/>
      <c r="E1684" s="150" t="s">
        <v>295</v>
      </c>
      <c r="F1684" s="150" t="s">
        <v>331</v>
      </c>
      <c r="G1684" s="1204" t="s">
        <v>332</v>
      </c>
      <c r="H1684" s="1205"/>
      <c r="I1684" s="77" t="s">
        <v>305</v>
      </c>
      <c r="J1684" s="77"/>
      <c r="K1684" s="1206" t="s">
        <v>297</v>
      </c>
      <c r="L1684" s="1207"/>
      <c r="M1684" s="1146"/>
      <c r="T1684" s="44"/>
      <c r="U1684" s="34"/>
    </row>
    <row r="1685" spans="1:24" ht="30" customHeight="1">
      <c r="A1685" s="45" t="s">
        <v>979</v>
      </c>
      <c r="B1685" s="1176" t="s">
        <v>2698</v>
      </c>
      <c r="C1685" s="1177"/>
      <c r="D1685" s="1178"/>
      <c r="E1685" s="153">
        <f>76.5-2.25</f>
        <v>74.25</v>
      </c>
      <c r="F1685" s="20" t="s">
        <v>8</v>
      </c>
      <c r="G1685" s="206"/>
      <c r="H1685" s="20"/>
      <c r="I1685" s="20">
        <v>1.05</v>
      </c>
      <c r="J1685" s="326"/>
      <c r="K1685" s="153">
        <f>+E1685*I1685</f>
        <v>77.962500000000006</v>
      </c>
      <c r="L1685" s="20" t="s">
        <v>8</v>
      </c>
      <c r="M1685" s="1146"/>
      <c r="P1685" s="34"/>
      <c r="Q1685" s="34"/>
      <c r="R1685" s="34"/>
      <c r="S1685" s="44"/>
      <c r="T1685" s="44"/>
      <c r="U1685" s="34"/>
    </row>
    <row r="1686" spans="1:24" ht="30" customHeight="1">
      <c r="A1686" s="45" t="s">
        <v>461</v>
      </c>
      <c r="B1686" s="1176" t="s">
        <v>2699</v>
      </c>
      <c r="C1686" s="1177"/>
      <c r="D1686" s="1178"/>
      <c r="E1686" s="23">
        <v>166000</v>
      </c>
      <c r="F1686" s="20" t="s">
        <v>10</v>
      </c>
      <c r="G1686" s="513">
        <f>+H1683</f>
        <v>9066</v>
      </c>
      <c r="H1686" s="329" t="s">
        <v>1102</v>
      </c>
      <c r="I1686" s="20">
        <v>1.07</v>
      </c>
      <c r="J1686" s="326"/>
      <c r="K1686" s="153">
        <f>+E1686/G1686*I1686</f>
        <v>19.591881756011471</v>
      </c>
      <c r="L1686" s="20" t="s">
        <v>8</v>
      </c>
      <c r="M1686" s="1146"/>
      <c r="P1686" s="34"/>
      <c r="Q1686" s="34"/>
      <c r="R1686" s="34"/>
      <c r="S1686" s="44"/>
      <c r="T1686" s="32"/>
      <c r="U1686" s="32"/>
      <c r="V1686" s="32"/>
      <c r="W1686" s="32"/>
      <c r="X1686" s="32"/>
    </row>
    <row r="1687" spans="1:24" s="32" customFormat="1" ht="30" customHeight="1">
      <c r="A1687" s="24" t="s">
        <v>461</v>
      </c>
      <c r="B1687" s="1162" t="s">
        <v>1186</v>
      </c>
      <c r="C1687" s="1163"/>
      <c r="D1687" s="1164"/>
      <c r="E1687" s="115">
        <f>+(228+250)/2</f>
        <v>239</v>
      </c>
      <c r="F1687" s="401" t="s">
        <v>6</v>
      </c>
      <c r="G1687" s="524">
        <v>288</v>
      </c>
      <c r="H1687" s="439" t="s">
        <v>1011</v>
      </c>
      <c r="I1687" s="525">
        <v>1.07</v>
      </c>
      <c r="J1687" s="10"/>
      <c r="K1687" s="153">
        <f>+E1687/G1687*I1687</f>
        <v>0.88795138888888903</v>
      </c>
      <c r="L1687" s="6" t="s">
        <v>8</v>
      </c>
      <c r="M1687" s="1146"/>
      <c r="N1687" s="125"/>
      <c r="O1687" s="33"/>
      <c r="T1687" s="38"/>
      <c r="U1687" s="38"/>
      <c r="V1687" s="38"/>
      <c r="W1687" s="38"/>
      <c r="X1687" s="38"/>
    </row>
    <row r="1688" spans="1:24" s="38" customFormat="1" ht="30" customHeight="1">
      <c r="A1688" s="45" t="s">
        <v>461</v>
      </c>
      <c r="B1688" s="1176" t="s">
        <v>1165</v>
      </c>
      <c r="C1688" s="1163"/>
      <c r="D1688" s="1164"/>
      <c r="E1688" s="153">
        <f>(22.2+44.75)/2</f>
        <v>33.475000000000001</v>
      </c>
      <c r="F1688" s="317"/>
      <c r="G1688" s="395"/>
      <c r="H1688" s="329"/>
      <c r="I1688" s="20">
        <v>1.07</v>
      </c>
      <c r="J1688" s="326"/>
      <c r="K1688" s="153">
        <f>+E1688*I1688</f>
        <v>35.818250000000006</v>
      </c>
      <c r="L1688" s="20"/>
      <c r="M1688" s="1146"/>
      <c r="N1688" s="193"/>
      <c r="O1688" s="1119"/>
      <c r="T1688"/>
      <c r="U1688"/>
      <c r="V1688"/>
      <c r="W1688"/>
      <c r="X1688"/>
    </row>
    <row r="1689" spans="1:24" ht="30" customHeight="1">
      <c r="A1689" s="45" t="s">
        <v>377</v>
      </c>
      <c r="B1689" s="1179" t="s">
        <v>1187</v>
      </c>
      <c r="C1689" s="1180"/>
      <c r="D1689" s="1180"/>
      <c r="E1689" s="153">
        <v>4.17</v>
      </c>
      <c r="F1689" s="317" t="s">
        <v>8</v>
      </c>
      <c r="G1689" s="395"/>
      <c r="H1689" s="329"/>
      <c r="I1689" s="20">
        <v>1.05</v>
      </c>
      <c r="J1689" s="326"/>
      <c r="K1689" s="153">
        <f>+E1689*I1689</f>
        <v>4.3784999999999998</v>
      </c>
      <c r="L1689" s="20" t="s">
        <v>8</v>
      </c>
      <c r="M1689" s="1146"/>
      <c r="T1689" s="44"/>
      <c r="U1689" s="34"/>
    </row>
    <row r="1690" spans="1:24" ht="30" customHeight="1">
      <c r="A1690" s="45"/>
      <c r="B1690" s="1224"/>
      <c r="C1690" s="1224"/>
      <c r="D1690" s="1224"/>
      <c r="E1690" s="153"/>
      <c r="F1690" s="20"/>
      <c r="G1690" s="395"/>
      <c r="H1690" s="329"/>
      <c r="I1690" s="20"/>
      <c r="J1690" s="20" t="s">
        <v>346</v>
      </c>
      <c r="K1690" s="153">
        <f>SUM(K1685:K1689)</f>
        <v>138.63908314490038</v>
      </c>
      <c r="L1690" s="20" t="s">
        <v>8</v>
      </c>
      <c r="M1690" s="1146"/>
      <c r="P1690" s="34"/>
      <c r="Q1690" s="34"/>
      <c r="R1690" s="34"/>
      <c r="S1690" s="44"/>
      <c r="T1690" s="44"/>
      <c r="U1690" s="34"/>
    </row>
    <row r="1691" spans="1:24" ht="30" customHeight="1">
      <c r="A1691" s="45"/>
      <c r="B1691" s="157"/>
      <c r="C1691" s="157"/>
      <c r="D1691" s="157"/>
      <c r="E1691" s="153"/>
      <c r="F1691" s="1174" t="s">
        <v>308</v>
      </c>
      <c r="G1691" s="1208" t="s">
        <v>309</v>
      </c>
      <c r="H1691" s="1208"/>
      <c r="I1691" s="1208"/>
      <c r="J1691" s="1208"/>
      <c r="K1691" s="123">
        <v>1.08</v>
      </c>
      <c r="L1691" s="10"/>
      <c r="M1691" s="1146"/>
      <c r="P1691" s="34"/>
      <c r="Q1691" s="34"/>
      <c r="R1691" s="34"/>
      <c r="S1691" s="44"/>
      <c r="T1691" s="32"/>
      <c r="U1691" s="32"/>
      <c r="V1691" s="32"/>
      <c r="W1691" s="32"/>
      <c r="X1691" s="32"/>
    </row>
    <row r="1692" spans="1:24" s="32" customFormat="1" ht="30" customHeight="1">
      <c r="A1692" s="45"/>
      <c r="B1692" s="157"/>
      <c r="C1692" s="157"/>
      <c r="D1692" s="157"/>
      <c r="E1692" s="153"/>
      <c r="F1692" s="1175"/>
      <c r="G1692" s="1209" t="s">
        <v>310</v>
      </c>
      <c r="H1692" s="1209"/>
      <c r="I1692" s="1209"/>
      <c r="J1692" s="1209"/>
      <c r="K1692" s="123">
        <v>1.07</v>
      </c>
      <c r="L1692" s="10"/>
      <c r="M1692" s="1146"/>
      <c r="N1692" s="125"/>
      <c r="O1692" s="33"/>
      <c r="T1692" s="38"/>
      <c r="U1692" s="38"/>
      <c r="V1692" s="38"/>
      <c r="W1692" s="38"/>
      <c r="X1692" s="38"/>
    </row>
    <row r="1693" spans="1:24" s="38" customFormat="1" ht="30" customHeight="1">
      <c r="A1693" s="45"/>
      <c r="B1693" s="20"/>
      <c r="C1693" s="18"/>
      <c r="D1693" s="18"/>
      <c r="E1693" s="18"/>
      <c r="F1693" s="18"/>
      <c r="G1693" s="18"/>
      <c r="H1693" s="18"/>
      <c r="I1693" s="18"/>
      <c r="J1693" s="18" t="s">
        <v>289</v>
      </c>
      <c r="K1693" s="23">
        <f>+K1690*K1691/K1692</f>
        <v>139.93477551074059</v>
      </c>
      <c r="L1693" s="20" t="s">
        <v>8</v>
      </c>
      <c r="M1693" s="1146"/>
      <c r="N1693" s="193"/>
      <c r="O1693" s="1119"/>
      <c r="T1693"/>
      <c r="U1693"/>
      <c r="V1693"/>
      <c r="W1693"/>
      <c r="X1693"/>
    </row>
    <row r="1694" spans="1:24" ht="30" customHeight="1" thickBot="1">
      <c r="A1694" s="45"/>
      <c r="B1694" s="20"/>
      <c r="C1694" s="18"/>
      <c r="D1694" s="18"/>
      <c r="E1694" s="18"/>
      <c r="F1694" s="18"/>
      <c r="G1694" s="160" t="s">
        <v>312</v>
      </c>
      <c r="H1694" s="18"/>
      <c r="I1694" s="18"/>
      <c r="J1694" s="139">
        <f>VLOOKUP(B1683,'Mil Cost Premiums for RUCs'!$A$4:$R$266,18,FALSE)</f>
        <v>1.1932356231980656</v>
      </c>
      <c r="K1694" s="23">
        <f>+K1693*J1694</f>
        <v>166.97515906363998</v>
      </c>
      <c r="L1694" s="20" t="s">
        <v>8</v>
      </c>
      <c r="M1694" s="1146"/>
      <c r="N1694" s="85"/>
      <c r="T1694" s="44"/>
      <c r="U1694" s="34"/>
    </row>
    <row r="1695" spans="1:24" ht="30" customHeight="1" thickBot="1">
      <c r="A1695" s="1165"/>
      <c r="B1695" s="1166"/>
      <c r="C1695" s="1166"/>
      <c r="D1695" s="1166"/>
      <c r="E1695" s="1166"/>
      <c r="F1695" s="1166"/>
      <c r="G1695" s="1166"/>
      <c r="H1695" s="1166"/>
      <c r="I1695" s="1166"/>
      <c r="J1695" s="1166"/>
      <c r="K1695" s="1166"/>
      <c r="L1695" s="1167"/>
      <c r="M1695" s="1146"/>
      <c r="P1695" s="34"/>
      <c r="Q1695" s="34"/>
      <c r="R1695" s="34"/>
      <c r="S1695" s="44"/>
      <c r="T1695" s="44"/>
      <c r="U1695" s="34"/>
    </row>
    <row r="1696" spans="1:24" ht="30" customHeight="1">
      <c r="A1696" s="27" t="s">
        <v>280</v>
      </c>
      <c r="B1696" s="28">
        <v>2291</v>
      </c>
      <c r="C1696" s="1393" t="s">
        <v>1188</v>
      </c>
      <c r="D1696" s="1394"/>
      <c r="E1696" s="30" t="s">
        <v>282</v>
      </c>
      <c r="F1696" s="31" t="s">
        <v>10</v>
      </c>
      <c r="G1696" s="70" t="s">
        <v>281</v>
      </c>
      <c r="H1696" s="186">
        <v>1</v>
      </c>
      <c r="I1696" s="30" t="s">
        <v>283</v>
      </c>
      <c r="J1696" s="1241" t="s">
        <v>569</v>
      </c>
      <c r="K1696" s="1241"/>
      <c r="L1696" s="1242"/>
      <c r="M1696" s="1146"/>
      <c r="P1696" s="34"/>
      <c r="Q1696" s="34"/>
      <c r="R1696" s="34"/>
      <c r="S1696" s="44"/>
      <c r="T1696" s="32"/>
      <c r="U1696" s="32"/>
      <c r="V1696" s="32"/>
      <c r="W1696" s="32"/>
      <c r="X1696" s="32"/>
    </row>
    <row r="1697" spans="1:24" s="32" customFormat="1" ht="30" customHeight="1">
      <c r="A1697" s="37" t="s">
        <v>304</v>
      </c>
      <c r="B1697" s="1300" t="s">
        <v>330</v>
      </c>
      <c r="C1697" s="1301"/>
      <c r="D1697" s="1302"/>
      <c r="E1697" s="362" t="s">
        <v>295</v>
      </c>
      <c r="F1697" s="362" t="s">
        <v>331</v>
      </c>
      <c r="G1697" s="1204" t="s">
        <v>332</v>
      </c>
      <c r="H1697" s="1205"/>
      <c r="I1697" s="77" t="s">
        <v>305</v>
      </c>
      <c r="J1697" s="77" t="s">
        <v>2700</v>
      </c>
      <c r="K1697" s="1206" t="s">
        <v>297</v>
      </c>
      <c r="L1697" s="1207"/>
      <c r="M1697" s="1146"/>
      <c r="N1697" s="125"/>
      <c r="O1697" s="33"/>
      <c r="T1697" s="38"/>
      <c r="U1697" s="38"/>
      <c r="V1697" s="38"/>
      <c r="W1697" s="38"/>
      <c r="X1697" s="38"/>
    </row>
    <row r="1698" spans="1:24" s="38" customFormat="1" ht="30" customHeight="1">
      <c r="A1698" s="45" t="s">
        <v>1189</v>
      </c>
      <c r="B1698" s="1188" t="s">
        <v>2702</v>
      </c>
      <c r="C1698" s="1189"/>
      <c r="D1698" s="1190"/>
      <c r="E1698" s="213">
        <f>+(7200+10800)/2</f>
        <v>9000</v>
      </c>
      <c r="F1698" s="45" t="s">
        <v>2701</v>
      </c>
      <c r="G1698" s="206">
        <v>180</v>
      </c>
      <c r="H1698" s="251" t="s">
        <v>2701</v>
      </c>
      <c r="I1698" s="20">
        <v>1.05</v>
      </c>
      <c r="J1698" s="1074">
        <f>+'2019 MILCON Inflation Table'!F14</f>
        <v>1.0543655984303466</v>
      </c>
      <c r="K1698" s="153">
        <f>+E1698*I1698*G1698*J1698</f>
        <v>1793475.8829300196</v>
      </c>
      <c r="L1698" s="20" t="s">
        <v>10</v>
      </c>
      <c r="M1698" s="1146"/>
      <c r="N1698" s="193"/>
      <c r="O1698" s="1119"/>
      <c r="T1698"/>
      <c r="U1698"/>
      <c r="V1698"/>
      <c r="W1698"/>
      <c r="X1698"/>
    </row>
    <row r="1699" spans="1:24" ht="30" customHeight="1">
      <c r="A1699" s="45"/>
      <c r="B1699" s="1307"/>
      <c r="C1699" s="1307"/>
      <c r="D1699" s="1307"/>
      <c r="E1699" s="213"/>
      <c r="F1699" s="45"/>
      <c r="G1699" s="395"/>
      <c r="H1699" s="329"/>
      <c r="I1699" s="20"/>
      <c r="J1699" s="20" t="s">
        <v>346</v>
      </c>
      <c r="K1699" s="153">
        <f>SUM(K1698:K1698)</f>
        <v>1793475.8829300196</v>
      </c>
      <c r="L1699" s="20" t="s">
        <v>10</v>
      </c>
      <c r="M1699" s="1146"/>
      <c r="T1699" s="44"/>
      <c r="U1699" s="34"/>
    </row>
    <row r="1700" spans="1:24" ht="30" customHeight="1">
      <c r="A1700" s="45"/>
      <c r="B1700" s="189"/>
      <c r="C1700" s="189"/>
      <c r="D1700" s="189"/>
      <c r="E1700" s="213"/>
      <c r="F1700" s="1367" t="s">
        <v>308</v>
      </c>
      <c r="G1700" s="1208" t="s">
        <v>309</v>
      </c>
      <c r="H1700" s="1208"/>
      <c r="I1700" s="1208"/>
      <c r="J1700" s="1208"/>
      <c r="K1700" s="20">
        <v>1.06</v>
      </c>
      <c r="L1700" s="10"/>
      <c r="M1700" s="1146"/>
      <c r="P1700" s="34"/>
      <c r="Q1700" s="34"/>
      <c r="R1700" s="34"/>
      <c r="S1700" s="44"/>
      <c r="T1700" s="44"/>
      <c r="U1700" s="34"/>
    </row>
    <row r="1701" spans="1:24" ht="30" customHeight="1">
      <c r="A1701" s="45"/>
      <c r="B1701" s="189"/>
      <c r="C1701" s="189"/>
      <c r="D1701" s="189"/>
      <c r="E1701" s="213"/>
      <c r="F1701" s="1368"/>
      <c r="G1701" s="1209" t="s">
        <v>310</v>
      </c>
      <c r="H1701" s="1209"/>
      <c r="I1701" s="1209"/>
      <c r="J1701" s="1209"/>
      <c r="K1701" s="123">
        <v>1.07</v>
      </c>
      <c r="L1701" s="10"/>
      <c r="M1701" s="1146"/>
      <c r="P1701" s="34"/>
      <c r="Q1701" s="34"/>
      <c r="R1701" s="34"/>
      <c r="S1701" s="44"/>
      <c r="T1701" s="32"/>
      <c r="U1701" s="32"/>
      <c r="V1701" s="32"/>
      <c r="W1701" s="32"/>
      <c r="X1701" s="32"/>
    </row>
    <row r="1702" spans="1:24" s="32" customFormat="1" ht="30" customHeight="1">
      <c r="A1702" s="45"/>
      <c r="B1702" s="45"/>
      <c r="C1702" s="46"/>
      <c r="D1702" s="46"/>
      <c r="E1702" s="46"/>
      <c r="F1702" s="46"/>
      <c r="G1702" s="18"/>
      <c r="H1702" s="18"/>
      <c r="I1702" s="18"/>
      <c r="J1702" s="18" t="s">
        <v>289</v>
      </c>
      <c r="K1702" s="23">
        <f>+K1699*K1700/K1701</f>
        <v>1776714.4260802064</v>
      </c>
      <c r="L1702" s="20" t="s">
        <v>10</v>
      </c>
      <c r="M1702" s="1146"/>
      <c r="N1702" s="125"/>
      <c r="O1702" s="33"/>
      <c r="T1702" s="38"/>
      <c r="U1702" s="38"/>
      <c r="V1702" s="38"/>
      <c r="W1702" s="38"/>
      <c r="X1702" s="38"/>
    </row>
    <row r="1703" spans="1:24" s="38" customFormat="1" ht="30" customHeight="1" thickBot="1">
      <c r="A1703" s="45"/>
      <c r="B1703" s="45"/>
      <c r="C1703" s="46"/>
      <c r="D1703" s="46"/>
      <c r="E1703" s="46"/>
      <c r="F1703" s="46"/>
      <c r="G1703" s="176" t="s">
        <v>312</v>
      </c>
      <c r="H1703" s="46"/>
      <c r="I1703" s="46"/>
      <c r="J1703" s="178">
        <f>VLOOKUP(B1696,'Mil Cost Premiums for RUCs'!$A$4:$R$266,18,FALSE)</f>
        <v>1.1233553701921195</v>
      </c>
      <c r="K1703" s="21">
        <f>+K1702*J1703</f>
        <v>1995881.6918350095</v>
      </c>
      <c r="L1703" s="45" t="s">
        <v>10</v>
      </c>
      <c r="M1703" s="1146"/>
      <c r="N1703" s="193"/>
      <c r="O1703" s="1119"/>
      <c r="T1703"/>
      <c r="U1703"/>
      <c r="V1703"/>
      <c r="W1703"/>
      <c r="X1703"/>
    </row>
    <row r="1704" spans="1:24" ht="30" customHeight="1" thickBot="1">
      <c r="A1704" s="1165"/>
      <c r="B1704" s="1166"/>
      <c r="C1704" s="1166"/>
      <c r="D1704" s="1166"/>
      <c r="E1704" s="1166"/>
      <c r="F1704" s="1166"/>
      <c r="G1704" s="1166"/>
      <c r="H1704" s="1166"/>
      <c r="I1704" s="1166"/>
      <c r="J1704" s="1166"/>
      <c r="K1704" s="1166"/>
      <c r="L1704" s="1167"/>
      <c r="M1704" s="1146"/>
      <c r="T1704" s="32"/>
      <c r="U1704" s="34"/>
    </row>
    <row r="1705" spans="1:24" ht="30" customHeight="1">
      <c r="A1705" s="81" t="s">
        <v>280</v>
      </c>
      <c r="B1705" s="82">
        <v>3101</v>
      </c>
      <c r="C1705" s="1197" t="s">
        <v>1190</v>
      </c>
      <c r="D1705" s="1198"/>
      <c r="E1705" s="74" t="s">
        <v>282</v>
      </c>
      <c r="F1705" s="75" t="s">
        <v>8</v>
      </c>
      <c r="G1705" s="58" t="s">
        <v>290</v>
      </c>
      <c r="H1705" s="215">
        <v>19875</v>
      </c>
      <c r="I1705" s="74" t="s">
        <v>283</v>
      </c>
      <c r="J1705" s="1199" t="s">
        <v>2529</v>
      </c>
      <c r="K1705" s="1199"/>
      <c r="L1705" s="1200"/>
      <c r="M1705" s="1146"/>
      <c r="N1705" s="125"/>
      <c r="O1705" s="33"/>
      <c r="P1705" s="32"/>
      <c r="Q1705" s="32"/>
      <c r="R1705" s="32"/>
      <c r="S1705" s="32"/>
      <c r="T1705" s="32"/>
      <c r="U1705" s="34"/>
    </row>
    <row r="1706" spans="1:24" ht="30" customHeight="1">
      <c r="A1706" s="79" t="s">
        <v>304</v>
      </c>
      <c r="B1706" s="1201" t="s">
        <v>330</v>
      </c>
      <c r="C1706" s="1202"/>
      <c r="D1706" s="1203"/>
      <c r="E1706" s="150" t="s">
        <v>295</v>
      </c>
      <c r="F1706" s="150" t="s">
        <v>331</v>
      </c>
      <c r="G1706" s="1204" t="s">
        <v>332</v>
      </c>
      <c r="H1706" s="1205"/>
      <c r="I1706" s="77" t="s">
        <v>305</v>
      </c>
      <c r="J1706" s="77"/>
      <c r="K1706" s="1206" t="s">
        <v>297</v>
      </c>
      <c r="L1706" s="1207"/>
      <c r="M1706" s="1146"/>
      <c r="N1706" s="125"/>
      <c r="O1706" s="33"/>
      <c r="P1706" s="32"/>
      <c r="Q1706" s="32"/>
      <c r="R1706" s="32"/>
      <c r="S1706" s="32"/>
      <c r="U1706" s="32"/>
      <c r="V1706" s="32"/>
      <c r="W1706" s="32"/>
      <c r="X1706" s="32"/>
    </row>
    <row r="1707" spans="1:24" s="32" customFormat="1" ht="30" customHeight="1">
      <c r="A1707" s="20" t="s">
        <v>382</v>
      </c>
      <c r="B1707" s="1162" t="s">
        <v>2889</v>
      </c>
      <c r="C1707" s="1163"/>
      <c r="D1707" s="1164"/>
      <c r="E1707" s="153">
        <v>230</v>
      </c>
      <c r="F1707" s="20" t="s">
        <v>8</v>
      </c>
      <c r="G1707" s="206"/>
      <c r="H1707" s="20"/>
      <c r="I1707" s="20">
        <v>1.05</v>
      </c>
      <c r="J1707" s="326"/>
      <c r="K1707" s="153">
        <f>+E1707*I1707</f>
        <v>241.5</v>
      </c>
      <c r="L1707" s="20" t="s">
        <v>8</v>
      </c>
      <c r="M1707" s="1146"/>
      <c r="N1707" s="25"/>
      <c r="O1707" s="1119"/>
      <c r="P1707"/>
      <c r="Q1707"/>
      <c r="R1707"/>
      <c r="S1707"/>
      <c r="T1707" s="38"/>
      <c r="U1707" s="38"/>
      <c r="V1707" s="38"/>
      <c r="W1707" s="38"/>
      <c r="X1707" s="38"/>
    </row>
    <row r="1708" spans="1:24" s="38" customFormat="1" ht="30" customHeight="1">
      <c r="A1708" s="20" t="s">
        <v>377</v>
      </c>
      <c r="B1708" s="1179" t="s">
        <v>1442</v>
      </c>
      <c r="C1708" s="1180"/>
      <c r="D1708" s="1181"/>
      <c r="E1708" s="153">
        <v>3.67</v>
      </c>
      <c r="F1708" s="317" t="s">
        <v>8</v>
      </c>
      <c r="G1708" s="395"/>
      <c r="H1708" s="329"/>
      <c r="I1708" s="20">
        <v>1.05</v>
      </c>
      <c r="J1708" s="326"/>
      <c r="K1708" s="153">
        <f>+E1708*I1708</f>
        <v>3.8534999999999999</v>
      </c>
      <c r="L1708" s="20" t="s">
        <v>8</v>
      </c>
      <c r="M1708" s="1146"/>
      <c r="N1708" s="193"/>
      <c r="O1708" s="1119"/>
      <c r="T1708" s="44"/>
      <c r="U1708"/>
      <c r="V1708"/>
      <c r="W1708"/>
      <c r="X1708"/>
    </row>
    <row r="1709" spans="1:24" ht="30" customHeight="1">
      <c r="A1709" s="20"/>
      <c r="B1709" s="20"/>
      <c r="C1709" s="1224"/>
      <c r="D1709" s="1224"/>
      <c r="E1709" s="1224"/>
      <c r="F1709" s="153"/>
      <c r="G1709" s="20"/>
      <c r="H1709" s="395"/>
      <c r="I1709" s="20"/>
      <c r="J1709" s="20" t="s">
        <v>346</v>
      </c>
      <c r="K1709" s="153">
        <f>SUM(K1707:K1708)</f>
        <v>245.3535</v>
      </c>
      <c r="L1709" s="20" t="s">
        <v>8</v>
      </c>
      <c r="M1709" s="1146"/>
      <c r="P1709" s="34"/>
      <c r="Q1709" s="34"/>
      <c r="R1709" s="34"/>
      <c r="S1709" s="44"/>
      <c r="T1709" s="32"/>
      <c r="U1709" s="34"/>
    </row>
    <row r="1710" spans="1:24" ht="30" customHeight="1">
      <c r="A1710" s="45"/>
      <c r="B1710" s="157"/>
      <c r="C1710" s="157"/>
      <c r="D1710" s="157"/>
      <c r="E1710" s="153"/>
      <c r="F1710" s="1174" t="s">
        <v>308</v>
      </c>
      <c r="G1710" s="1208" t="s">
        <v>309</v>
      </c>
      <c r="H1710" s="1208"/>
      <c r="I1710" s="1208"/>
      <c r="J1710" s="1208"/>
      <c r="K1710" s="326">
        <f>(1.06+1.08)/2</f>
        <v>1.07</v>
      </c>
      <c r="L1710" s="10"/>
      <c r="M1710" s="1146"/>
      <c r="N1710" s="125"/>
      <c r="O1710" s="33"/>
      <c r="P1710" s="32"/>
      <c r="Q1710" s="32"/>
      <c r="R1710" s="32"/>
      <c r="S1710" s="32"/>
      <c r="T1710" s="32"/>
      <c r="U1710" s="34"/>
    </row>
    <row r="1711" spans="1:24" ht="30" customHeight="1">
      <c r="A1711" s="45"/>
      <c r="B1711" s="157"/>
      <c r="C1711" s="157"/>
      <c r="D1711" s="157"/>
      <c r="E1711" s="153"/>
      <c r="F1711" s="1175"/>
      <c r="G1711" s="1209" t="s">
        <v>310</v>
      </c>
      <c r="H1711" s="1209"/>
      <c r="I1711" s="1209"/>
      <c r="J1711" s="1209"/>
      <c r="K1711" s="123">
        <v>1.07</v>
      </c>
      <c r="L1711" s="10"/>
      <c r="M1711" s="1146"/>
      <c r="N1711" s="125"/>
      <c r="O1711" s="33"/>
      <c r="P1711" s="32"/>
      <c r="Q1711" s="32"/>
      <c r="R1711" s="32"/>
      <c r="S1711" s="32"/>
      <c r="U1711" s="32"/>
      <c r="V1711" s="32"/>
      <c r="W1711" s="32"/>
      <c r="X1711" s="32"/>
    </row>
    <row r="1712" spans="1:24" s="32" customFormat="1" ht="30" customHeight="1">
      <c r="A1712" s="20"/>
      <c r="B1712" s="20"/>
      <c r="C1712" s="20"/>
      <c r="D1712" s="18"/>
      <c r="E1712" s="18"/>
      <c r="F1712" s="18"/>
      <c r="G1712" s="18"/>
      <c r="H1712" s="18"/>
      <c r="I1712" s="18"/>
      <c r="J1712" s="20" t="s">
        <v>289</v>
      </c>
      <c r="K1712" s="23">
        <f>+K1709*K1710/K1711</f>
        <v>245.3535</v>
      </c>
      <c r="L1712" s="20" t="s">
        <v>8</v>
      </c>
      <c r="M1712" s="1146"/>
      <c r="N1712" s="25"/>
      <c r="O1712" s="1119"/>
      <c r="P1712"/>
      <c r="Q1712"/>
      <c r="R1712"/>
      <c r="S1712"/>
      <c r="T1712" s="38"/>
      <c r="U1712" s="38"/>
      <c r="V1712" s="38"/>
      <c r="W1712" s="38"/>
      <c r="X1712" s="38"/>
    </row>
    <row r="1713" spans="1:24" s="38" customFormat="1" ht="30" customHeight="1">
      <c r="A1713" s="20"/>
      <c r="B1713" s="20"/>
      <c r="C1713" s="20"/>
      <c r="D1713" s="18"/>
      <c r="E1713" s="18"/>
      <c r="F1713" s="18"/>
      <c r="G1713" s="57" t="s">
        <v>385</v>
      </c>
      <c r="H1713" s="18"/>
      <c r="I1713" s="18"/>
      <c r="J1713" s="139">
        <f>VLOOKUP(B1705,'Mil Cost Premiums for RUCs'!$A$4:$R$266,18,FALSE)</f>
        <v>1.3319480854780448</v>
      </c>
      <c r="K1713" s="23">
        <f>+K1712*J1713</f>
        <v>326.79812459033747</v>
      </c>
      <c r="L1713" s="20" t="s">
        <v>8</v>
      </c>
      <c r="M1713" s="1146"/>
      <c r="N1713" s="193"/>
      <c r="O1713" s="1119"/>
      <c r="T1713" s="44"/>
      <c r="U1713"/>
      <c r="V1713"/>
      <c r="W1713"/>
      <c r="X1713"/>
    </row>
    <row r="1714" spans="1:24" ht="60" customHeight="1">
      <c r="A1714" s="1337" t="s">
        <v>313</v>
      </c>
      <c r="B1714" s="1338"/>
      <c r="C1714" s="1338"/>
      <c r="D1714" s="1338"/>
      <c r="E1714" s="1338"/>
      <c r="F1714" s="1338"/>
      <c r="G1714" s="1338"/>
      <c r="H1714" s="1338"/>
      <c r="I1714" s="1338"/>
      <c r="J1714" s="1338"/>
      <c r="K1714" s="1338"/>
      <c r="L1714" s="1339"/>
      <c r="M1714" s="1146"/>
      <c r="P1714" s="34"/>
      <c r="Q1714" s="34"/>
      <c r="R1714" s="34"/>
      <c r="S1714" s="44"/>
      <c r="T1714" s="44"/>
    </row>
    <row r="1715" spans="1:24" ht="45" customHeight="1">
      <c r="A1715" s="1516" t="s">
        <v>314</v>
      </c>
      <c r="B1715" s="1517"/>
      <c r="C1715" s="1518"/>
      <c r="D1715" s="1270" t="s">
        <v>1192</v>
      </c>
      <c r="E1715" s="1371"/>
      <c r="F1715" s="1371"/>
      <c r="G1715" s="1371"/>
      <c r="H1715" s="1371"/>
      <c r="I1715" s="1371"/>
      <c r="J1715" s="1371"/>
      <c r="K1715" s="1371"/>
      <c r="L1715" s="1372"/>
      <c r="M1715" s="1146"/>
      <c r="P1715" s="34"/>
      <c r="Q1715" s="34"/>
      <c r="R1715" s="34"/>
      <c r="S1715" s="44"/>
      <c r="T1715" s="44"/>
      <c r="U1715" s="34"/>
    </row>
    <row r="1716" spans="1:24" ht="45" customHeight="1">
      <c r="A1716" s="1516" t="s">
        <v>316</v>
      </c>
      <c r="B1716" s="1517"/>
      <c r="C1716" s="1518"/>
      <c r="D1716" s="1270" t="s">
        <v>1193</v>
      </c>
      <c r="E1716" s="1371"/>
      <c r="F1716" s="1371"/>
      <c r="G1716" s="1371"/>
      <c r="H1716" s="1371"/>
      <c r="I1716" s="1371"/>
      <c r="J1716" s="1371"/>
      <c r="K1716" s="1371"/>
      <c r="L1716" s="1372"/>
      <c r="M1716" s="1146"/>
      <c r="P1716" s="34"/>
      <c r="Q1716" s="34"/>
      <c r="R1716" s="34"/>
      <c r="S1716" s="44"/>
      <c r="T1716" s="44"/>
      <c r="U1716" s="34"/>
    </row>
    <row r="1717" spans="1:24" ht="30" customHeight="1">
      <c r="A1717" s="1516" t="s">
        <v>317</v>
      </c>
      <c r="B1717" s="1517"/>
      <c r="C1717" s="1518"/>
      <c r="D1717" s="1270" t="s">
        <v>2588</v>
      </c>
      <c r="E1717" s="1371"/>
      <c r="F1717" s="1371"/>
      <c r="G1717" s="1371"/>
      <c r="H1717" s="1371"/>
      <c r="I1717" s="1371"/>
      <c r="J1717" s="1371"/>
      <c r="K1717" s="1371"/>
      <c r="L1717" s="1372"/>
      <c r="M1717" s="1146"/>
      <c r="P1717" s="34"/>
      <c r="Q1717" s="34"/>
      <c r="R1717" s="34"/>
      <c r="S1717" s="44"/>
      <c r="T1717" s="32"/>
      <c r="U1717" s="32"/>
      <c r="V1717" s="32"/>
      <c r="W1717" s="32"/>
      <c r="X1717" s="32"/>
    </row>
    <row r="1718" spans="1:24" s="32" customFormat="1" ht="45" customHeight="1">
      <c r="A1718" s="1516" t="s">
        <v>318</v>
      </c>
      <c r="B1718" s="1517"/>
      <c r="C1718" s="1518"/>
      <c r="D1718" s="1270" t="s">
        <v>1194</v>
      </c>
      <c r="E1718" s="1371"/>
      <c r="F1718" s="1371"/>
      <c r="G1718" s="1371"/>
      <c r="H1718" s="1371"/>
      <c r="I1718" s="1371"/>
      <c r="J1718" s="1371"/>
      <c r="K1718" s="1371"/>
      <c r="L1718" s="1372"/>
      <c r="M1718" s="1146"/>
      <c r="N1718" s="125"/>
      <c r="O1718" s="33"/>
      <c r="T1718" s="38"/>
      <c r="U1718" s="38"/>
      <c r="V1718" s="38"/>
      <c r="W1718" s="38"/>
      <c r="X1718" s="38"/>
    </row>
    <row r="1719" spans="1:24" s="38" customFormat="1" ht="30" customHeight="1">
      <c r="A1719" s="1516" t="s">
        <v>320</v>
      </c>
      <c r="B1719" s="1517"/>
      <c r="C1719" s="1518"/>
      <c r="D1719" s="1270" t="s">
        <v>1195</v>
      </c>
      <c r="E1719" s="1371"/>
      <c r="F1719" s="1371"/>
      <c r="G1719" s="1371"/>
      <c r="H1719" s="1371"/>
      <c r="I1719" s="1371"/>
      <c r="J1719" s="1371"/>
      <c r="K1719" s="1371"/>
      <c r="L1719" s="1372"/>
      <c r="M1719" s="1146"/>
      <c r="N1719" s="193"/>
      <c r="O1719" s="1119"/>
      <c r="T1719"/>
      <c r="U1719"/>
      <c r="V1719"/>
      <c r="W1719"/>
      <c r="X1719"/>
    </row>
    <row r="1720" spans="1:24" ht="30" customHeight="1">
      <c r="A1720" s="1516" t="s">
        <v>322</v>
      </c>
      <c r="B1720" s="1517"/>
      <c r="C1720" s="1518"/>
      <c r="D1720" s="1270" t="s">
        <v>323</v>
      </c>
      <c r="E1720" s="1371"/>
      <c r="F1720" s="1371"/>
      <c r="G1720" s="1371"/>
      <c r="H1720" s="1371"/>
      <c r="I1720" s="1371"/>
      <c r="J1720" s="1371"/>
      <c r="K1720" s="1371"/>
      <c r="L1720" s="1372"/>
      <c r="M1720" s="1146"/>
      <c r="N1720" s="85"/>
    </row>
    <row r="1721" spans="1:24" ht="30" customHeight="1">
      <c r="A1721" s="1516" t="s">
        <v>324</v>
      </c>
      <c r="B1721" s="1517"/>
      <c r="C1721" s="1518"/>
      <c r="D1721" s="1270" t="s">
        <v>1196</v>
      </c>
      <c r="E1721" s="1371"/>
      <c r="F1721" s="1371"/>
      <c r="G1721" s="1371"/>
      <c r="H1721" s="1371"/>
      <c r="I1721" s="1371"/>
      <c r="J1721" s="1371"/>
      <c r="K1721" s="1371"/>
      <c r="L1721" s="1372"/>
      <c r="M1721" s="1146"/>
      <c r="N1721" s="1103"/>
      <c r="O1721"/>
      <c r="P1721" s="159"/>
      <c r="Q1721" s="147"/>
      <c r="R1721" s="149"/>
      <c r="T1721" s="149"/>
    </row>
    <row r="1722" spans="1:24" ht="75" customHeight="1">
      <c r="A1722" s="1516" t="s">
        <v>325</v>
      </c>
      <c r="B1722" s="1517"/>
      <c r="C1722" s="1518"/>
      <c r="D1722" s="1270" t="s">
        <v>391</v>
      </c>
      <c r="E1722" s="1371"/>
      <c r="F1722" s="1371"/>
      <c r="G1722" s="1371"/>
      <c r="H1722" s="1371"/>
      <c r="I1722" s="1371"/>
      <c r="J1722" s="1371"/>
      <c r="K1722" s="1371"/>
      <c r="L1722" s="1372"/>
      <c r="M1722" s="1146"/>
      <c r="O1722" s="370"/>
      <c r="P1722" s="147"/>
      <c r="T1722" s="491"/>
      <c r="U1722" s="32"/>
      <c r="V1722" s="32"/>
      <c r="W1722" s="32"/>
      <c r="X1722" s="32"/>
    </row>
    <row r="1723" spans="1:24" s="32" customFormat="1" ht="45" customHeight="1" thickBot="1">
      <c r="A1723" s="1516" t="s">
        <v>327</v>
      </c>
      <c r="B1723" s="1517"/>
      <c r="C1723" s="1518"/>
      <c r="D1723" s="1270" t="s">
        <v>1197</v>
      </c>
      <c r="E1723" s="1371"/>
      <c r="F1723" s="1371"/>
      <c r="G1723" s="1371"/>
      <c r="H1723" s="1371"/>
      <c r="I1723" s="1371"/>
      <c r="J1723" s="1371"/>
      <c r="K1723" s="1371"/>
      <c r="L1723" s="1372"/>
      <c r="M1723" s="1146"/>
      <c r="N1723" s="124"/>
      <c r="O1723" s="490"/>
      <c r="P1723" s="276"/>
      <c r="T1723" s="149"/>
      <c r="U1723" s="38"/>
      <c r="V1723" s="38"/>
      <c r="W1723" s="38"/>
      <c r="X1723" s="38"/>
    </row>
    <row r="1724" spans="1:24" s="38" customFormat="1" ht="30" customHeight="1" thickBot="1">
      <c r="A1724" s="1165"/>
      <c r="B1724" s="1166"/>
      <c r="C1724" s="1166"/>
      <c r="D1724" s="1166"/>
      <c r="E1724" s="1166"/>
      <c r="F1724" s="1166"/>
      <c r="G1724" s="1166"/>
      <c r="H1724" s="1166"/>
      <c r="I1724" s="1166"/>
      <c r="J1724" s="1166"/>
      <c r="K1724" s="1166"/>
      <c r="L1724" s="1167"/>
      <c r="M1724" s="1146"/>
      <c r="N1724" s="193"/>
      <c r="O1724" s="381"/>
      <c r="P1724" s="147"/>
      <c r="T1724" s="149"/>
      <c r="U1724"/>
      <c r="V1724"/>
      <c r="W1724"/>
      <c r="X1724"/>
    </row>
    <row r="1725" spans="1:24" ht="30" customHeight="1">
      <c r="A1725" s="108" t="s">
        <v>280</v>
      </c>
      <c r="B1725" s="109">
        <v>3102</v>
      </c>
      <c r="C1725" s="1548" t="s">
        <v>1198</v>
      </c>
      <c r="D1725" s="1549"/>
      <c r="E1725" s="216" t="s">
        <v>282</v>
      </c>
      <c r="F1725" s="217" t="s">
        <v>8</v>
      </c>
      <c r="G1725" s="58" t="s">
        <v>290</v>
      </c>
      <c r="H1725" s="218">
        <v>36335</v>
      </c>
      <c r="I1725" s="216" t="s">
        <v>283</v>
      </c>
      <c r="J1725" s="1199" t="s">
        <v>2529</v>
      </c>
      <c r="K1725" s="1199"/>
      <c r="L1725" s="1200"/>
      <c r="M1725" s="1146"/>
      <c r="O1725" s="370"/>
      <c r="P1725" s="147"/>
      <c r="T1725" s="149"/>
    </row>
    <row r="1726" spans="1:24" ht="30" customHeight="1">
      <c r="A1726" s="294" t="s">
        <v>304</v>
      </c>
      <c r="B1726" s="1436" t="s">
        <v>330</v>
      </c>
      <c r="C1726" s="1437"/>
      <c r="D1726" s="1438"/>
      <c r="E1726" s="219" t="s">
        <v>295</v>
      </c>
      <c r="F1726" s="219" t="s">
        <v>331</v>
      </c>
      <c r="G1726" s="1327" t="s">
        <v>332</v>
      </c>
      <c r="H1726" s="1328"/>
      <c r="I1726" s="167" t="s">
        <v>305</v>
      </c>
      <c r="J1726" s="167"/>
      <c r="K1726" s="1206" t="s">
        <v>297</v>
      </c>
      <c r="L1726" s="1207"/>
      <c r="M1726" s="1146"/>
      <c r="O1726" s="370"/>
      <c r="P1726" s="147"/>
      <c r="T1726" s="149"/>
    </row>
    <row r="1727" spans="1:24" ht="30" customHeight="1">
      <c r="A1727" s="24" t="s">
        <v>382</v>
      </c>
      <c r="B1727" s="1439" t="s">
        <v>2889</v>
      </c>
      <c r="C1727" s="1440"/>
      <c r="D1727" s="1441"/>
      <c r="E1727" s="115">
        <v>230</v>
      </c>
      <c r="F1727" s="10" t="s">
        <v>8</v>
      </c>
      <c r="G1727" s="494"/>
      <c r="H1727" s="10"/>
      <c r="I1727" s="10">
        <v>1.05</v>
      </c>
      <c r="J1727" s="415"/>
      <c r="K1727" s="115">
        <f>+E1727*I1727</f>
        <v>241.5</v>
      </c>
      <c r="L1727" s="10" t="s">
        <v>8</v>
      </c>
      <c r="M1727" s="1146"/>
      <c r="O1727" s="370"/>
      <c r="P1727" s="147"/>
      <c r="T1727" s="149"/>
    </row>
    <row r="1728" spans="1:24" ht="30" customHeight="1">
      <c r="A1728" s="24" t="s">
        <v>382</v>
      </c>
      <c r="B1728" s="1185" t="s">
        <v>2703</v>
      </c>
      <c r="C1728" s="1186"/>
      <c r="D1728" s="1186"/>
      <c r="E1728" s="115">
        <v>35.75</v>
      </c>
      <c r="F1728" s="401" t="s">
        <v>8</v>
      </c>
      <c r="G1728" s="402"/>
      <c r="H1728" s="403"/>
      <c r="I1728" s="10">
        <v>1.05</v>
      </c>
      <c r="J1728" s="415"/>
      <c r="K1728" s="115">
        <f>+E1728*I1728</f>
        <v>37.537500000000001</v>
      </c>
      <c r="L1728" s="10" t="s">
        <v>8</v>
      </c>
      <c r="M1728" s="1146"/>
      <c r="O1728" s="370"/>
      <c r="P1728" s="147"/>
      <c r="T1728" s="149"/>
    </row>
    <row r="1729" spans="1:20" ht="30" customHeight="1">
      <c r="A1729" s="24" t="s">
        <v>382</v>
      </c>
      <c r="B1729" s="1185" t="s">
        <v>1199</v>
      </c>
      <c r="C1729" s="1186"/>
      <c r="D1729" s="1187"/>
      <c r="E1729" s="115">
        <v>35.75</v>
      </c>
      <c r="F1729" s="401" t="s">
        <v>8</v>
      </c>
      <c r="G1729" s="402"/>
      <c r="H1729" s="403"/>
      <c r="I1729" s="10">
        <v>1.05</v>
      </c>
      <c r="J1729" s="415"/>
      <c r="K1729" s="115">
        <f>+E1729*I1729</f>
        <v>37.537500000000001</v>
      </c>
      <c r="L1729" s="10" t="s">
        <v>8</v>
      </c>
      <c r="M1729" s="1146"/>
      <c r="O1729" s="370"/>
      <c r="P1729" s="147"/>
      <c r="T1729" s="149"/>
    </row>
    <row r="1730" spans="1:20" ht="30" customHeight="1">
      <c r="A1730" s="24" t="s">
        <v>377</v>
      </c>
      <c r="B1730" s="1185" t="s">
        <v>1200</v>
      </c>
      <c r="C1730" s="1186"/>
      <c r="D1730" s="1186"/>
      <c r="E1730" s="115">
        <v>3.44</v>
      </c>
      <c r="F1730" s="401" t="s">
        <v>8</v>
      </c>
      <c r="G1730" s="402"/>
      <c r="H1730" s="403"/>
      <c r="I1730" s="10">
        <v>1.05</v>
      </c>
      <c r="J1730" s="415"/>
      <c r="K1730" s="115">
        <f>+E1730*I1730</f>
        <v>3.6120000000000001</v>
      </c>
      <c r="L1730" s="10" t="s">
        <v>8</v>
      </c>
      <c r="M1730" s="1146"/>
      <c r="O1730" s="370"/>
      <c r="P1730" s="147"/>
      <c r="T1730" s="149"/>
    </row>
    <row r="1731" spans="1:20" ht="30" customHeight="1">
      <c r="A1731" s="24"/>
      <c r="B1731" s="1340"/>
      <c r="C1731" s="1340"/>
      <c r="D1731" s="1340"/>
      <c r="E1731" s="115"/>
      <c r="F1731" s="10"/>
      <c r="G1731" s="402"/>
      <c r="H1731" s="403"/>
      <c r="I1731" s="10"/>
      <c r="J1731" s="10" t="s">
        <v>346</v>
      </c>
      <c r="K1731" s="115">
        <f>SUM(K1727:K1730)</f>
        <v>320.18700000000007</v>
      </c>
      <c r="L1731" s="10" t="s">
        <v>8</v>
      </c>
      <c r="M1731" s="1146"/>
      <c r="O1731" s="370"/>
      <c r="P1731" s="147"/>
      <c r="T1731" s="149"/>
    </row>
    <row r="1732" spans="1:20" ht="30" customHeight="1">
      <c r="A1732" s="45"/>
      <c r="B1732" s="189"/>
      <c r="C1732" s="189"/>
      <c r="D1732" s="189"/>
      <c r="E1732" s="153"/>
      <c r="F1732" s="1174" t="s">
        <v>308</v>
      </c>
      <c r="G1732" s="1208" t="s">
        <v>309</v>
      </c>
      <c r="H1732" s="1208"/>
      <c r="I1732" s="1208"/>
      <c r="J1732" s="1208"/>
      <c r="K1732" s="326">
        <f>(1.06+1.08)/2</f>
        <v>1.07</v>
      </c>
      <c r="L1732" s="10"/>
      <c r="M1732" s="1146"/>
      <c r="O1732" s="370"/>
      <c r="P1732" s="147"/>
      <c r="T1732" s="149"/>
    </row>
    <row r="1733" spans="1:20" ht="30" customHeight="1">
      <c r="A1733" s="45"/>
      <c r="B1733" s="189"/>
      <c r="C1733" s="189"/>
      <c r="D1733" s="189"/>
      <c r="E1733" s="153"/>
      <c r="F1733" s="1175"/>
      <c r="G1733" s="1209" t="s">
        <v>310</v>
      </c>
      <c r="H1733" s="1209"/>
      <c r="I1733" s="1209"/>
      <c r="J1733" s="1209"/>
      <c r="K1733" s="123">
        <v>1.07</v>
      </c>
      <c r="L1733" s="10"/>
      <c r="M1733" s="1146"/>
      <c r="O1733" s="370"/>
      <c r="P1733" s="147"/>
      <c r="T1733" s="149"/>
    </row>
    <row r="1734" spans="1:20" ht="30" customHeight="1">
      <c r="A1734" s="24"/>
      <c r="B1734" s="24"/>
      <c r="C1734" s="47"/>
      <c r="D1734" s="47"/>
      <c r="E1734" s="13"/>
      <c r="F1734" s="13"/>
      <c r="G1734" s="13"/>
      <c r="H1734" s="13"/>
      <c r="I1734" s="13"/>
      <c r="J1734" s="10" t="s">
        <v>289</v>
      </c>
      <c r="K1734" s="14">
        <f>+K1731*K1732/K1733</f>
        <v>320.18700000000007</v>
      </c>
      <c r="L1734" s="10" t="s">
        <v>8</v>
      </c>
      <c r="M1734" s="1146"/>
      <c r="O1734" s="370"/>
      <c r="P1734" s="147"/>
      <c r="T1734" s="149"/>
    </row>
    <row r="1735" spans="1:20" ht="30" customHeight="1">
      <c r="A1735" s="24"/>
      <c r="B1735" s="24"/>
      <c r="C1735" s="47"/>
      <c r="D1735" s="47"/>
      <c r="E1735" s="13"/>
      <c r="F1735" s="13"/>
      <c r="G1735" s="235" t="s">
        <v>385</v>
      </c>
      <c r="H1735" s="235"/>
      <c r="I1735" s="13"/>
      <c r="J1735" s="139">
        <f>VLOOKUP(B1725,'Mil Cost Premiums for RUCs'!$A$4:$R$266,18,FALSE)</f>
        <v>1.3319480854780448</v>
      </c>
      <c r="K1735" s="14">
        <f>+K1734*J1735</f>
        <v>426.4724616449588</v>
      </c>
      <c r="L1735" s="10" t="s">
        <v>8</v>
      </c>
      <c r="M1735" s="1146"/>
      <c r="O1735" s="370"/>
      <c r="P1735" s="147"/>
    </row>
    <row r="1736" spans="1:20" ht="60" customHeight="1">
      <c r="A1736" s="1337" t="s">
        <v>313</v>
      </c>
      <c r="B1736" s="1338"/>
      <c r="C1736" s="1338"/>
      <c r="D1736" s="1338"/>
      <c r="E1736" s="1338"/>
      <c r="F1736" s="1338"/>
      <c r="G1736" s="1338"/>
      <c r="H1736" s="1338"/>
      <c r="I1736" s="1338"/>
      <c r="J1736" s="1338"/>
      <c r="K1736" s="1338"/>
      <c r="L1736" s="1339"/>
      <c r="M1736" s="1146"/>
      <c r="N1736" s="282"/>
      <c r="O1736" s="34"/>
      <c r="P1736" s="283"/>
      <c r="Q1736" s="282"/>
      <c r="R1736" s="284"/>
    </row>
    <row r="1737" spans="1:20" ht="30" customHeight="1">
      <c r="A1737" s="1516" t="s">
        <v>314</v>
      </c>
      <c r="B1737" s="1517"/>
      <c r="C1737" s="1518"/>
      <c r="D1737" s="1270" t="s">
        <v>1192</v>
      </c>
      <c r="E1737" s="1371"/>
      <c r="F1737" s="1371"/>
      <c r="G1737" s="1371"/>
      <c r="H1737" s="1371"/>
      <c r="I1737" s="1371"/>
      <c r="J1737" s="1371"/>
      <c r="K1737" s="1371"/>
      <c r="L1737" s="1372"/>
      <c r="M1737" s="1146"/>
      <c r="N1737" s="282"/>
      <c r="O1737" s="34"/>
      <c r="P1737" s="283"/>
      <c r="Q1737" s="282"/>
      <c r="R1737" s="284"/>
    </row>
    <row r="1738" spans="1:20" ht="45" customHeight="1">
      <c r="A1738" s="1516" t="s">
        <v>316</v>
      </c>
      <c r="B1738" s="1517"/>
      <c r="C1738" s="1518"/>
      <c r="D1738" s="1270" t="s">
        <v>1201</v>
      </c>
      <c r="E1738" s="1371"/>
      <c r="F1738" s="1371"/>
      <c r="G1738" s="1371"/>
      <c r="H1738" s="1371"/>
      <c r="I1738" s="1371"/>
      <c r="J1738" s="1371"/>
      <c r="K1738" s="1371"/>
      <c r="L1738" s="1372"/>
      <c r="M1738" s="1146"/>
      <c r="N1738" s="1103"/>
      <c r="O1738"/>
      <c r="P1738" s="159"/>
      <c r="Q1738" s="147"/>
      <c r="R1738" s="149"/>
    </row>
    <row r="1739" spans="1:20" ht="30" customHeight="1">
      <c r="A1739" s="1516" t="s">
        <v>317</v>
      </c>
      <c r="B1739" s="1517"/>
      <c r="C1739" s="1518"/>
      <c r="D1739" s="1270" t="s">
        <v>2704</v>
      </c>
      <c r="E1739" s="1371"/>
      <c r="F1739" s="1371"/>
      <c r="G1739" s="1371"/>
      <c r="H1739" s="1371"/>
      <c r="I1739" s="1371"/>
      <c r="J1739" s="1371"/>
      <c r="K1739" s="1371"/>
      <c r="L1739" s="1372"/>
      <c r="M1739" s="1146"/>
      <c r="N1739" s="1103"/>
      <c r="O1739"/>
      <c r="P1739" s="159"/>
      <c r="Q1739" s="147"/>
      <c r="R1739" s="149"/>
    </row>
    <row r="1740" spans="1:20" ht="45" customHeight="1">
      <c r="A1740" s="1516" t="s">
        <v>318</v>
      </c>
      <c r="B1740" s="1517"/>
      <c r="C1740" s="1518"/>
      <c r="D1740" s="1270" t="s">
        <v>1202</v>
      </c>
      <c r="E1740" s="1371"/>
      <c r="F1740" s="1371"/>
      <c r="G1740" s="1371"/>
      <c r="H1740" s="1371"/>
      <c r="I1740" s="1371"/>
      <c r="J1740" s="1371"/>
      <c r="K1740" s="1371"/>
      <c r="L1740" s="1372"/>
      <c r="M1740" s="1146"/>
      <c r="N1740" s="1103"/>
      <c r="O1740"/>
      <c r="P1740" s="159"/>
      <c r="Q1740" s="147"/>
      <c r="R1740" s="149"/>
    </row>
    <row r="1741" spans="1:20" ht="30" customHeight="1">
      <c r="A1741" s="1516" t="s">
        <v>320</v>
      </c>
      <c r="B1741" s="1517"/>
      <c r="C1741" s="1518"/>
      <c r="D1741" s="1270" t="s">
        <v>1203</v>
      </c>
      <c r="E1741" s="1371"/>
      <c r="F1741" s="1371"/>
      <c r="G1741" s="1371"/>
      <c r="H1741" s="1371"/>
      <c r="I1741" s="1371"/>
      <c r="J1741" s="1371"/>
      <c r="K1741" s="1371"/>
      <c r="L1741" s="1372"/>
      <c r="M1741" s="1146"/>
      <c r="N1741" s="1103"/>
      <c r="O1741"/>
      <c r="P1741" s="159"/>
      <c r="Q1741" s="147"/>
      <c r="R1741" s="149"/>
    </row>
    <row r="1742" spans="1:20" ht="30" customHeight="1">
      <c r="A1742" s="1516" t="s">
        <v>322</v>
      </c>
      <c r="B1742" s="1517"/>
      <c r="C1742" s="1518"/>
      <c r="D1742" s="1270" t="s">
        <v>926</v>
      </c>
      <c r="E1742" s="1371"/>
      <c r="F1742" s="1371"/>
      <c r="G1742" s="1371"/>
      <c r="H1742" s="1371"/>
      <c r="I1742" s="1371"/>
      <c r="J1742" s="1371"/>
      <c r="K1742" s="1371"/>
      <c r="L1742" s="1372"/>
      <c r="M1742" s="1146"/>
      <c r="N1742" s="1103"/>
      <c r="O1742"/>
      <c r="P1742" s="159"/>
      <c r="Q1742" s="147"/>
      <c r="R1742" s="149"/>
    </row>
    <row r="1743" spans="1:20" ht="27" customHeight="1">
      <c r="A1743" s="1516" t="s">
        <v>324</v>
      </c>
      <c r="B1743" s="1517"/>
      <c r="C1743" s="1518"/>
      <c r="D1743" s="1270" t="s">
        <v>1204</v>
      </c>
      <c r="E1743" s="1371"/>
      <c r="F1743" s="1371"/>
      <c r="G1743" s="1371"/>
      <c r="H1743" s="1371"/>
      <c r="I1743" s="1371"/>
      <c r="J1743" s="1371"/>
      <c r="K1743" s="1371"/>
      <c r="L1743" s="1372"/>
      <c r="M1743" s="1146"/>
      <c r="N1743" s="1103"/>
      <c r="O1743"/>
      <c r="P1743" s="159"/>
      <c r="Q1743" s="147"/>
      <c r="R1743" s="149"/>
    </row>
    <row r="1744" spans="1:20" ht="75" customHeight="1">
      <c r="A1744" s="1516" t="s">
        <v>325</v>
      </c>
      <c r="B1744" s="1517"/>
      <c r="C1744" s="1518"/>
      <c r="D1744" s="1270" t="s">
        <v>391</v>
      </c>
      <c r="E1744" s="1371"/>
      <c r="F1744" s="1371"/>
      <c r="G1744" s="1371"/>
      <c r="H1744" s="1371"/>
      <c r="I1744" s="1371"/>
      <c r="J1744" s="1371"/>
      <c r="K1744" s="1371"/>
      <c r="L1744" s="1372"/>
      <c r="M1744" s="1146"/>
      <c r="N1744" s="1103"/>
      <c r="O1744"/>
      <c r="P1744" s="159"/>
      <c r="Q1744" s="147"/>
      <c r="R1744" s="149"/>
    </row>
    <row r="1745" spans="1:24" ht="45" customHeight="1" thickBot="1">
      <c r="A1745" s="1516" t="s">
        <v>327</v>
      </c>
      <c r="B1745" s="1517"/>
      <c r="C1745" s="1518"/>
      <c r="D1745" s="1270" t="s">
        <v>1197</v>
      </c>
      <c r="E1745" s="1371"/>
      <c r="F1745" s="1371"/>
      <c r="G1745" s="1371"/>
      <c r="H1745" s="1371"/>
      <c r="I1745" s="1371"/>
      <c r="J1745" s="1371"/>
      <c r="K1745" s="1371"/>
      <c r="L1745" s="1372"/>
      <c r="M1745" s="1146"/>
      <c r="N1745" s="1103"/>
      <c r="O1745"/>
      <c r="P1745" s="159"/>
      <c r="Q1745" s="147"/>
      <c r="R1745" s="149"/>
    </row>
    <row r="1746" spans="1:24" ht="30" customHeight="1" thickBot="1">
      <c r="A1746" s="1165"/>
      <c r="B1746" s="1166"/>
      <c r="C1746" s="1166"/>
      <c r="D1746" s="1166"/>
      <c r="E1746" s="1166"/>
      <c r="F1746" s="1166"/>
      <c r="G1746" s="1166"/>
      <c r="H1746" s="1166"/>
      <c r="I1746" s="1166"/>
      <c r="J1746" s="1166"/>
      <c r="K1746" s="1166"/>
      <c r="L1746" s="1167"/>
      <c r="M1746" s="1146"/>
      <c r="N1746" s="1103"/>
      <c r="O1746"/>
      <c r="P1746" s="159"/>
      <c r="Q1746" s="147"/>
      <c r="R1746" s="149"/>
    </row>
    <row r="1747" spans="1:24" ht="30" customHeight="1">
      <c r="A1747" s="27" t="s">
        <v>280</v>
      </c>
      <c r="B1747" s="82">
        <v>3103</v>
      </c>
      <c r="C1747" s="1197" t="s">
        <v>1205</v>
      </c>
      <c r="D1747" s="1198"/>
      <c r="E1747" s="74" t="s">
        <v>282</v>
      </c>
      <c r="F1747" s="75" t="s">
        <v>8</v>
      </c>
      <c r="G1747" s="58" t="s">
        <v>290</v>
      </c>
      <c r="H1747" s="215">
        <v>23686</v>
      </c>
      <c r="I1747" s="74" t="s">
        <v>283</v>
      </c>
      <c r="J1747" s="1199" t="s">
        <v>2529</v>
      </c>
      <c r="K1747" s="1199"/>
      <c r="L1747" s="1200"/>
      <c r="M1747" s="1146"/>
      <c r="N1747" s="1103"/>
      <c r="O1747"/>
      <c r="P1747" s="159"/>
      <c r="Q1747" s="147"/>
      <c r="R1747" s="149"/>
    </row>
    <row r="1748" spans="1:24" ht="30" customHeight="1">
      <c r="A1748" s="37" t="s">
        <v>304</v>
      </c>
      <c r="B1748" s="1201" t="s">
        <v>330</v>
      </c>
      <c r="C1748" s="1202"/>
      <c r="D1748" s="1203"/>
      <c r="E1748" s="150" t="s">
        <v>295</v>
      </c>
      <c r="F1748" s="150" t="s">
        <v>331</v>
      </c>
      <c r="G1748" s="1204" t="s">
        <v>332</v>
      </c>
      <c r="H1748" s="1205"/>
      <c r="I1748" s="77" t="s">
        <v>305</v>
      </c>
      <c r="J1748" s="77"/>
      <c r="K1748" s="1206" t="s">
        <v>297</v>
      </c>
      <c r="L1748" s="1207"/>
      <c r="M1748" s="1146"/>
      <c r="N1748" s="1103"/>
      <c r="O1748"/>
      <c r="P1748" s="159"/>
      <c r="Q1748" s="147"/>
      <c r="R1748" s="149"/>
    </row>
    <row r="1749" spans="1:24" ht="30" customHeight="1">
      <c r="A1749" s="45" t="s">
        <v>382</v>
      </c>
      <c r="B1749" s="1162" t="s">
        <v>2890</v>
      </c>
      <c r="C1749" s="1163"/>
      <c r="D1749" s="1164"/>
      <c r="E1749" s="153">
        <f>230-2.48</f>
        <v>227.52</v>
      </c>
      <c r="F1749" s="20" t="s">
        <v>8</v>
      </c>
      <c r="G1749" s="363"/>
      <c r="H1749" s="267"/>
      <c r="I1749" s="20">
        <v>1.05</v>
      </c>
      <c r="J1749" s="326"/>
      <c r="K1749" s="153">
        <f>+E1749*I1749</f>
        <v>238.89600000000002</v>
      </c>
      <c r="L1749" s="20" t="s">
        <v>8</v>
      </c>
      <c r="M1749" s="1146"/>
      <c r="N1749" s="1103"/>
      <c r="O1749"/>
      <c r="P1749" s="148"/>
      <c r="Q1749" s="147"/>
      <c r="R1749" s="149"/>
    </row>
    <row r="1750" spans="1:24" ht="30" customHeight="1">
      <c r="A1750" s="45" t="s">
        <v>382</v>
      </c>
      <c r="B1750" s="1179" t="s">
        <v>1206</v>
      </c>
      <c r="C1750" s="1180"/>
      <c r="D1750" s="1180"/>
      <c r="E1750" s="153">
        <v>35.75</v>
      </c>
      <c r="F1750" s="317" t="s">
        <v>8</v>
      </c>
      <c r="G1750" s="327"/>
      <c r="H1750" s="325"/>
      <c r="I1750" s="20">
        <v>1.05</v>
      </c>
      <c r="J1750" s="326"/>
      <c r="K1750" s="153">
        <f>+E1750*I1750</f>
        <v>37.537500000000001</v>
      </c>
      <c r="L1750" s="20" t="s">
        <v>8</v>
      </c>
      <c r="M1750" s="1146"/>
      <c r="N1750" s="1103"/>
      <c r="O1750"/>
      <c r="P1750" s="148"/>
      <c r="Q1750" s="147"/>
      <c r="R1750" s="149"/>
      <c r="T1750" s="38"/>
      <c r="U1750" s="38"/>
      <c r="V1750" s="38"/>
      <c r="W1750" s="38"/>
      <c r="X1750" s="38"/>
    </row>
    <row r="1751" spans="1:24" s="38" customFormat="1" ht="30" customHeight="1">
      <c r="A1751" s="45" t="s">
        <v>1207</v>
      </c>
      <c r="B1751" s="1176" t="s">
        <v>1208</v>
      </c>
      <c r="C1751" s="1177"/>
      <c r="D1751" s="1177"/>
      <c r="E1751" s="153">
        <v>153000</v>
      </c>
      <c r="F1751" s="317" t="s">
        <v>10</v>
      </c>
      <c r="G1751" s="271">
        <f>+H1747</f>
        <v>23686</v>
      </c>
      <c r="H1751" s="325" t="s">
        <v>1102</v>
      </c>
      <c r="I1751" s="20">
        <v>1.07</v>
      </c>
      <c r="J1751" s="326"/>
      <c r="K1751" s="153">
        <f>+(E1751*6)/G1751*I1751</f>
        <v>41.470066706071101</v>
      </c>
      <c r="L1751" s="20" t="s">
        <v>8</v>
      </c>
      <c r="M1751" s="1146"/>
      <c r="N1751" s="1103"/>
      <c r="P1751" s="148"/>
      <c r="Q1751" s="147"/>
      <c r="R1751" s="149"/>
      <c r="T1751"/>
      <c r="U1751"/>
      <c r="V1751"/>
      <c r="W1751"/>
      <c r="X1751"/>
    </row>
    <row r="1752" spans="1:24" ht="30" customHeight="1">
      <c r="A1752" s="45" t="s">
        <v>377</v>
      </c>
      <c r="B1752" s="1179" t="s">
        <v>1442</v>
      </c>
      <c r="C1752" s="1180"/>
      <c r="D1752" s="1180"/>
      <c r="E1752" s="153">
        <v>3.67</v>
      </c>
      <c r="F1752" s="317" t="s">
        <v>8</v>
      </c>
      <c r="G1752" s="327"/>
      <c r="H1752" s="325"/>
      <c r="I1752" s="20">
        <v>1.05</v>
      </c>
      <c r="J1752" s="326"/>
      <c r="K1752" s="153">
        <f>+E1752*I1752</f>
        <v>3.8534999999999999</v>
      </c>
      <c r="L1752" s="20" t="s">
        <v>8</v>
      </c>
      <c r="M1752" s="1146"/>
      <c r="N1752" s="973"/>
      <c r="O1752"/>
      <c r="P1752" s="148"/>
      <c r="Q1752" s="147"/>
      <c r="R1752" s="149"/>
    </row>
    <row r="1753" spans="1:24" ht="30" customHeight="1">
      <c r="A1753" s="45"/>
      <c r="B1753" s="1224"/>
      <c r="C1753" s="1224"/>
      <c r="D1753" s="1224"/>
      <c r="E1753" s="153"/>
      <c r="F1753" s="20"/>
      <c r="G1753" s="395"/>
      <c r="H1753" s="329"/>
      <c r="I1753" s="20"/>
      <c r="J1753" s="20" t="s">
        <v>346</v>
      </c>
      <c r="K1753" s="153">
        <f>SUM(K1749:K1752)</f>
        <v>321.75706670607116</v>
      </c>
      <c r="L1753" s="20" t="s">
        <v>8</v>
      </c>
      <c r="M1753" s="1146"/>
      <c r="N1753" s="973"/>
      <c r="O1753"/>
      <c r="P1753" s="148"/>
      <c r="Q1753" s="147"/>
      <c r="R1753" s="149"/>
    </row>
    <row r="1754" spans="1:24" ht="30" customHeight="1">
      <c r="A1754" s="45"/>
      <c r="B1754" s="157"/>
      <c r="C1754" s="157"/>
      <c r="D1754" s="157"/>
      <c r="E1754" s="153"/>
      <c r="F1754" s="1174" t="s">
        <v>308</v>
      </c>
      <c r="G1754" s="1208" t="s">
        <v>309</v>
      </c>
      <c r="H1754" s="1208"/>
      <c r="I1754" s="1208"/>
      <c r="J1754" s="1208"/>
      <c r="K1754" s="326">
        <f>(1.06+1.08)/2</f>
        <v>1.07</v>
      </c>
      <c r="L1754" s="10"/>
      <c r="M1754" s="1146"/>
      <c r="N1754" s="1103"/>
      <c r="O1754"/>
      <c r="P1754" s="148"/>
      <c r="Q1754" s="147"/>
      <c r="R1754" s="149"/>
    </row>
    <row r="1755" spans="1:24" ht="30" customHeight="1">
      <c r="A1755" s="45"/>
      <c r="B1755" s="157"/>
      <c r="C1755" s="157"/>
      <c r="D1755" s="157"/>
      <c r="E1755" s="153"/>
      <c r="F1755" s="1175"/>
      <c r="G1755" s="1209" t="s">
        <v>310</v>
      </c>
      <c r="H1755" s="1209"/>
      <c r="I1755" s="1209"/>
      <c r="J1755" s="1209"/>
      <c r="K1755" s="123">
        <v>1.07</v>
      </c>
      <c r="L1755" s="10"/>
      <c r="M1755" s="1146"/>
      <c r="N1755" s="1103"/>
      <c r="O1755"/>
      <c r="P1755" s="148"/>
      <c r="Q1755" s="147"/>
      <c r="R1755" s="149"/>
    </row>
    <row r="1756" spans="1:24" ht="30" customHeight="1">
      <c r="A1756" s="45"/>
      <c r="B1756" s="1212"/>
      <c r="C1756" s="1213"/>
      <c r="D1756" s="1214"/>
      <c r="E1756" s="18"/>
      <c r="F1756" s="18"/>
      <c r="G1756" s="18"/>
      <c r="H1756" s="18"/>
      <c r="I1756" s="18"/>
      <c r="J1756" s="18" t="s">
        <v>289</v>
      </c>
      <c r="K1756" s="23">
        <f>+K1753*K1754/K1755</f>
        <v>321.75706670607116</v>
      </c>
      <c r="L1756" s="20" t="s">
        <v>8</v>
      </c>
      <c r="M1756" s="1146"/>
      <c r="N1756" s="282"/>
      <c r="O1756" s="34"/>
      <c r="P1756" s="283"/>
      <c r="Q1756" s="282"/>
      <c r="R1756" s="284"/>
    </row>
    <row r="1757" spans="1:24" ht="30" customHeight="1" thickBot="1">
      <c r="A1757" s="45"/>
      <c r="B1757" s="45"/>
      <c r="C1757" s="46"/>
      <c r="D1757" s="46"/>
      <c r="E1757" s="46"/>
      <c r="F1757" s="46"/>
      <c r="G1757" s="176" t="s">
        <v>312</v>
      </c>
      <c r="H1757" s="46"/>
      <c r="I1757" s="46"/>
      <c r="J1757" s="178">
        <f>VLOOKUP(B1747,'Mil Cost Premiums for RUCs'!$A$4:$R$266,18,FALSE)</f>
        <v>1.3319480854780448</v>
      </c>
      <c r="K1757" s="21">
        <f>+K1756*J1757</f>
        <v>428.56370898818301</v>
      </c>
      <c r="L1757" s="45" t="s">
        <v>8</v>
      </c>
      <c r="M1757" s="1146"/>
      <c r="N1757" s="282"/>
      <c r="O1757" s="34"/>
      <c r="P1757" s="283"/>
      <c r="Q1757" s="282"/>
      <c r="R1757" s="284"/>
    </row>
    <row r="1758" spans="1:24" ht="30" customHeight="1" thickBot="1">
      <c r="A1758" s="1165"/>
      <c r="B1758" s="1166"/>
      <c r="C1758" s="1166"/>
      <c r="D1758" s="1166"/>
      <c r="E1758" s="1166"/>
      <c r="F1758" s="1166"/>
      <c r="G1758" s="1166"/>
      <c r="H1758" s="1166"/>
      <c r="I1758" s="1166"/>
      <c r="J1758" s="1166"/>
      <c r="K1758" s="1166"/>
      <c r="L1758" s="1167"/>
      <c r="M1758" s="1146"/>
      <c r="N1758" s="1103"/>
      <c r="O1758"/>
      <c r="P1758" s="148"/>
      <c r="Q1758" s="147"/>
      <c r="R1758" s="149"/>
    </row>
    <row r="1759" spans="1:24" ht="30" customHeight="1">
      <c r="A1759" s="27" t="s">
        <v>280</v>
      </c>
      <c r="B1759" s="82">
        <v>3104</v>
      </c>
      <c r="C1759" s="1197" t="s">
        <v>1209</v>
      </c>
      <c r="D1759" s="1198"/>
      <c r="E1759" s="74" t="s">
        <v>282</v>
      </c>
      <c r="F1759" s="75" t="s">
        <v>8</v>
      </c>
      <c r="G1759" s="58" t="s">
        <v>290</v>
      </c>
      <c r="H1759" s="145">
        <v>417</v>
      </c>
      <c r="I1759" s="74" t="s">
        <v>283</v>
      </c>
      <c r="J1759" s="1199" t="s">
        <v>2529</v>
      </c>
      <c r="K1759" s="1199"/>
      <c r="L1759" s="1200"/>
      <c r="M1759" s="1146"/>
      <c r="N1759" s="1103"/>
      <c r="O1759"/>
      <c r="P1759" s="148"/>
      <c r="Q1759" s="147"/>
      <c r="R1759" s="149"/>
    </row>
    <row r="1760" spans="1:24" ht="30" customHeight="1">
      <c r="A1760" s="37" t="s">
        <v>304</v>
      </c>
      <c r="B1760" s="1201" t="s">
        <v>330</v>
      </c>
      <c r="C1760" s="1202"/>
      <c r="D1760" s="1203"/>
      <c r="E1760" s="150" t="s">
        <v>295</v>
      </c>
      <c r="F1760" s="150" t="s">
        <v>331</v>
      </c>
      <c r="G1760" s="1204" t="s">
        <v>332</v>
      </c>
      <c r="H1760" s="1205"/>
      <c r="I1760" s="77" t="s">
        <v>305</v>
      </c>
      <c r="J1760" s="77"/>
      <c r="K1760" s="1206" t="s">
        <v>297</v>
      </c>
      <c r="L1760" s="1207"/>
      <c r="M1760" s="1146"/>
      <c r="N1760" s="1103"/>
      <c r="O1760"/>
      <c r="P1760" s="148"/>
      <c r="Q1760" s="147"/>
      <c r="R1760" s="149"/>
    </row>
    <row r="1761" spans="1:24" ht="30" customHeight="1">
      <c r="A1761" s="45" t="s">
        <v>382</v>
      </c>
      <c r="B1761" s="1162" t="s">
        <v>2891</v>
      </c>
      <c r="C1761" s="1163"/>
      <c r="D1761" s="1164"/>
      <c r="E1761" s="153">
        <f>230-2.48</f>
        <v>227.52</v>
      </c>
      <c r="F1761" s="20" t="s">
        <v>8</v>
      </c>
      <c r="G1761" s="363"/>
      <c r="H1761" s="267"/>
      <c r="I1761" s="20">
        <v>1.05</v>
      </c>
      <c r="J1761" s="326"/>
      <c r="K1761" s="153">
        <f>+E1761*I1761</f>
        <v>238.89600000000002</v>
      </c>
      <c r="L1761" s="20" t="s">
        <v>8</v>
      </c>
      <c r="M1761" s="1146"/>
      <c r="N1761" s="1103"/>
      <c r="O1761"/>
      <c r="P1761" s="148"/>
      <c r="Q1761" s="147"/>
      <c r="R1761" s="149"/>
      <c r="T1761" s="38"/>
      <c r="U1761" s="38"/>
      <c r="V1761" s="38"/>
      <c r="W1761" s="38"/>
      <c r="X1761" s="38"/>
    </row>
    <row r="1762" spans="1:24" s="38" customFormat="1" ht="30" customHeight="1">
      <c r="A1762" s="45" t="s">
        <v>382</v>
      </c>
      <c r="B1762" s="1179" t="s">
        <v>1206</v>
      </c>
      <c r="C1762" s="1180"/>
      <c r="D1762" s="1180"/>
      <c r="E1762" s="153">
        <v>35.75</v>
      </c>
      <c r="F1762" s="317" t="s">
        <v>8</v>
      </c>
      <c r="G1762" s="327"/>
      <c r="H1762" s="325"/>
      <c r="I1762" s="20">
        <v>1.05</v>
      </c>
      <c r="J1762" s="326"/>
      <c r="K1762" s="153">
        <f>+E1762*I1762</f>
        <v>37.537500000000001</v>
      </c>
      <c r="L1762" s="20" t="s">
        <v>8</v>
      </c>
      <c r="M1762" s="1146"/>
      <c r="N1762" s="1103"/>
      <c r="P1762" s="148"/>
      <c r="Q1762" s="147"/>
      <c r="R1762" s="149"/>
      <c r="T1762"/>
      <c r="U1762"/>
      <c r="V1762"/>
      <c r="W1762"/>
      <c r="X1762"/>
    </row>
    <row r="1763" spans="1:24" ht="30" customHeight="1">
      <c r="A1763" s="45" t="s">
        <v>1207</v>
      </c>
      <c r="B1763" s="1176" t="s">
        <v>1210</v>
      </c>
      <c r="C1763" s="1177"/>
      <c r="D1763" s="1178"/>
      <c r="E1763" s="153">
        <v>109000</v>
      </c>
      <c r="F1763" s="317" t="s">
        <v>10</v>
      </c>
      <c r="G1763" s="327">
        <f>+H1759</f>
        <v>417</v>
      </c>
      <c r="H1763" s="325" t="s">
        <v>1102</v>
      </c>
      <c r="I1763" s="20">
        <v>1.07</v>
      </c>
      <c r="J1763" s="326"/>
      <c r="K1763" s="153">
        <f>+(E1763*1)/G1763*I1763</f>
        <v>279.68824940047966</v>
      </c>
      <c r="L1763" s="20" t="s">
        <v>8</v>
      </c>
      <c r="M1763" s="1146"/>
      <c r="N1763" s="1103"/>
      <c r="O1763"/>
      <c r="P1763" s="148"/>
      <c r="Q1763" s="147"/>
      <c r="R1763" s="149"/>
    </row>
    <row r="1764" spans="1:24" ht="30" customHeight="1">
      <c r="A1764" s="45" t="s">
        <v>377</v>
      </c>
      <c r="B1764" s="1179" t="s">
        <v>1211</v>
      </c>
      <c r="C1764" s="1180"/>
      <c r="D1764" s="1181"/>
      <c r="E1764" s="153">
        <v>5.26</v>
      </c>
      <c r="F1764" s="317" t="s">
        <v>8</v>
      </c>
      <c r="G1764" s="327"/>
      <c r="H1764" s="325"/>
      <c r="I1764" s="20">
        <v>1.05</v>
      </c>
      <c r="J1764" s="326"/>
      <c r="K1764" s="153">
        <f>+E1764*I1764</f>
        <v>5.5229999999999997</v>
      </c>
      <c r="L1764" s="20" t="s">
        <v>8</v>
      </c>
      <c r="M1764" s="1146"/>
      <c r="N1764" s="1103"/>
      <c r="O1764"/>
      <c r="P1764" s="148"/>
      <c r="Q1764" s="147"/>
      <c r="R1764" s="149"/>
    </row>
    <row r="1765" spans="1:24" ht="30" customHeight="1">
      <c r="A1765" s="45"/>
      <c r="B1765" s="1224"/>
      <c r="C1765" s="1224"/>
      <c r="D1765" s="1224"/>
      <c r="E1765" s="153"/>
      <c r="F1765" s="20"/>
      <c r="G1765" s="395"/>
      <c r="H1765" s="329"/>
      <c r="I1765" s="20"/>
      <c r="J1765" s="20" t="s">
        <v>346</v>
      </c>
      <c r="K1765" s="153">
        <f>SUM(K1761:K1764)</f>
        <v>561.64474940047978</v>
      </c>
      <c r="L1765" s="20" t="s">
        <v>8</v>
      </c>
      <c r="M1765" s="1146"/>
      <c r="N1765" s="1103"/>
      <c r="O1765"/>
      <c r="P1765" s="148"/>
      <c r="Q1765" s="147"/>
      <c r="R1765" s="149"/>
    </row>
    <row r="1766" spans="1:24" ht="30" customHeight="1">
      <c r="A1766" s="45"/>
      <c r="B1766" s="1212" t="s">
        <v>2892</v>
      </c>
      <c r="C1766" s="1177"/>
      <c r="D1766" s="1178"/>
      <c r="E1766" s="153"/>
      <c r="F1766" s="1174" t="s">
        <v>308</v>
      </c>
      <c r="G1766" s="1208" t="s">
        <v>309</v>
      </c>
      <c r="H1766" s="1208"/>
      <c r="I1766" s="1208"/>
      <c r="J1766" s="1208"/>
      <c r="K1766" s="326">
        <f>(1.06+1.08)/2</f>
        <v>1.07</v>
      </c>
      <c r="L1766" s="10"/>
      <c r="M1766" s="1146"/>
      <c r="N1766" s="1103"/>
      <c r="O1766"/>
      <c r="P1766" s="148"/>
      <c r="Q1766" s="147"/>
      <c r="R1766" s="149"/>
    </row>
    <row r="1767" spans="1:24" ht="30" customHeight="1">
      <c r="A1767" s="45"/>
      <c r="B1767" s="157"/>
      <c r="C1767" s="157"/>
      <c r="D1767" s="157"/>
      <c r="E1767" s="153"/>
      <c r="F1767" s="1175"/>
      <c r="G1767" s="1209" t="s">
        <v>310</v>
      </c>
      <c r="H1767" s="1209"/>
      <c r="I1767" s="1209"/>
      <c r="J1767" s="1209"/>
      <c r="K1767" s="123">
        <v>1.07</v>
      </c>
      <c r="L1767" s="10"/>
      <c r="M1767" s="1146"/>
      <c r="N1767" s="1103"/>
      <c r="O1767"/>
      <c r="P1767" s="148"/>
      <c r="Q1767" s="147"/>
      <c r="R1767" s="149"/>
    </row>
    <row r="1768" spans="1:24" ht="30" customHeight="1">
      <c r="A1768" s="45"/>
      <c r="B1768" s="1268"/>
      <c r="C1768" s="1550"/>
      <c r="D1768" s="1269"/>
      <c r="E1768" s="18"/>
      <c r="F1768" s="18"/>
      <c r="G1768" s="18"/>
      <c r="H1768" s="18"/>
      <c r="I1768" s="18"/>
      <c r="J1768" s="18" t="s">
        <v>289</v>
      </c>
      <c r="K1768" s="23">
        <f>+K1765*K1766/K1767</f>
        <v>561.64474940047978</v>
      </c>
      <c r="L1768" s="20" t="s">
        <v>8</v>
      </c>
      <c r="M1768" s="1146"/>
      <c r="N1768" s="1103"/>
      <c r="O1768"/>
      <c r="P1768" s="148"/>
      <c r="Q1768" s="147"/>
      <c r="R1768" s="149"/>
    </row>
    <row r="1769" spans="1:24" ht="30" customHeight="1" thickBot="1">
      <c r="A1769" s="45"/>
      <c r="B1769" s="45"/>
      <c r="C1769" s="46"/>
      <c r="D1769" s="46"/>
      <c r="E1769" s="46"/>
      <c r="F1769" s="46"/>
      <c r="G1769" s="176" t="s">
        <v>312</v>
      </c>
      <c r="H1769" s="46"/>
      <c r="I1769" s="46"/>
      <c r="J1769" s="178">
        <f>VLOOKUP(B1759,'Mil Cost Premiums for RUCs'!$A$4:$R$266,18,FALSE)</f>
        <v>1.3319480854780448</v>
      </c>
      <c r="K1769" s="21">
        <f>+K1768*J1769</f>
        <v>748.08164868276526</v>
      </c>
      <c r="L1769" s="45" t="s">
        <v>8</v>
      </c>
      <c r="M1769" s="1146"/>
      <c r="N1769" s="1103"/>
      <c r="O1769"/>
      <c r="P1769" s="148"/>
      <c r="Q1769" s="147"/>
      <c r="R1769" s="149"/>
    </row>
    <row r="1770" spans="1:24" ht="30" customHeight="1" thickBot="1">
      <c r="A1770" s="1165"/>
      <c r="B1770" s="1166"/>
      <c r="C1770" s="1166"/>
      <c r="D1770" s="1166"/>
      <c r="E1770" s="1166"/>
      <c r="F1770" s="1166"/>
      <c r="G1770" s="1166"/>
      <c r="H1770" s="1166"/>
      <c r="I1770" s="1166"/>
      <c r="J1770" s="1166"/>
      <c r="K1770" s="1166"/>
      <c r="L1770" s="1167"/>
      <c r="M1770" s="1146"/>
      <c r="N1770" s="282"/>
      <c r="O1770" s="34"/>
      <c r="P1770" s="283"/>
      <c r="Q1770" s="282"/>
      <c r="R1770" s="284"/>
    </row>
    <row r="1771" spans="1:24" ht="30" customHeight="1">
      <c r="A1771" s="81" t="s">
        <v>280</v>
      </c>
      <c r="B1771" s="82">
        <v>3111</v>
      </c>
      <c r="C1771" s="1228" t="s">
        <v>1212</v>
      </c>
      <c r="D1771" s="1229"/>
      <c r="E1771" s="74" t="s">
        <v>282</v>
      </c>
      <c r="F1771" s="75" t="s">
        <v>8</v>
      </c>
      <c r="G1771" s="58" t="s">
        <v>290</v>
      </c>
      <c r="H1771" s="104">
        <v>21709</v>
      </c>
      <c r="I1771" s="74" t="s">
        <v>283</v>
      </c>
      <c r="J1771" s="1551" t="s">
        <v>1213</v>
      </c>
      <c r="K1771" s="1552"/>
      <c r="L1771" s="1553"/>
      <c r="M1771" s="1146"/>
      <c r="N1771" s="282"/>
      <c r="O1771" s="34"/>
      <c r="P1771" s="283"/>
      <c r="Q1771" s="282"/>
      <c r="R1771" s="284"/>
    </row>
    <row r="1772" spans="1:24" ht="30" customHeight="1">
      <c r="A1772" s="77" t="s">
        <v>293</v>
      </c>
      <c r="B1772" s="1232" t="s">
        <v>284</v>
      </c>
      <c r="C1772" s="1232"/>
      <c r="D1772" s="1232"/>
      <c r="E1772" s="96" t="s">
        <v>295</v>
      </c>
      <c r="F1772" s="77" t="s">
        <v>294</v>
      </c>
      <c r="G1772" s="1365" t="s">
        <v>2</v>
      </c>
      <c r="H1772" s="1366"/>
      <c r="I1772" s="1233" t="s">
        <v>426</v>
      </c>
      <c r="J1772" s="1234"/>
      <c r="K1772" s="1206" t="s">
        <v>297</v>
      </c>
      <c r="L1772" s="1207"/>
      <c r="M1772" s="1146"/>
      <c r="N1772" s="1103"/>
      <c r="O1772"/>
      <c r="P1772" s="148"/>
      <c r="Q1772" s="147"/>
      <c r="R1772" s="149"/>
    </row>
    <row r="1773" spans="1:24" ht="30" customHeight="1">
      <c r="A1773" s="20">
        <v>31010</v>
      </c>
      <c r="B1773" s="1179" t="s">
        <v>1214</v>
      </c>
      <c r="C1773" s="1180"/>
      <c r="D1773" s="1181"/>
      <c r="E1773" s="153">
        <v>247</v>
      </c>
      <c r="F1773" s="316">
        <v>9000</v>
      </c>
      <c r="G1773" s="286" t="s">
        <v>8</v>
      </c>
      <c r="H1773" s="286"/>
      <c r="I1773" s="1546">
        <f>+'2019 MILCON Inflation Table'!F8</f>
        <v>1.2987915407854984</v>
      </c>
      <c r="J1773" s="1547"/>
      <c r="K1773" s="106">
        <f>+E1773*I1773</f>
        <v>320.8015105740181</v>
      </c>
      <c r="L1773" s="97" t="s">
        <v>8</v>
      </c>
      <c r="M1773" s="1146"/>
      <c r="N1773" s="1103"/>
      <c r="O1773"/>
      <c r="P1773" s="148"/>
      <c r="Q1773" s="147"/>
      <c r="R1773" s="149"/>
    </row>
    <row r="1774" spans="1:24" ht="30" customHeight="1">
      <c r="A1774" s="20">
        <v>21110</v>
      </c>
      <c r="B1774" s="1176" t="s">
        <v>2630</v>
      </c>
      <c r="C1774" s="1177"/>
      <c r="D1774" s="1178"/>
      <c r="E1774" s="153">
        <v>300</v>
      </c>
      <c r="F1774" s="316">
        <v>78000</v>
      </c>
      <c r="G1774" s="286" t="s">
        <v>8</v>
      </c>
      <c r="H1774" s="286"/>
      <c r="I1774" s="1192" t="s">
        <v>2632</v>
      </c>
      <c r="J1774" s="1193"/>
      <c r="K1774" s="99">
        <f>+E1774</f>
        <v>300</v>
      </c>
      <c r="L1774" s="97" t="s">
        <v>8</v>
      </c>
      <c r="M1774" s="1146"/>
      <c r="N1774" s="1103"/>
      <c r="O1774"/>
      <c r="P1774" s="148"/>
      <c r="Q1774" s="147"/>
      <c r="R1774" s="149"/>
    </row>
    <row r="1775" spans="1:24" ht="30" customHeight="1">
      <c r="A1775" s="20">
        <v>21120</v>
      </c>
      <c r="B1775" s="1176" t="s">
        <v>1215</v>
      </c>
      <c r="C1775" s="1177"/>
      <c r="D1775" s="1178"/>
      <c r="E1775" s="153">
        <v>267.67</v>
      </c>
      <c r="F1775" s="316">
        <v>32000</v>
      </c>
      <c r="G1775" s="286" t="s">
        <v>8</v>
      </c>
      <c r="H1775" s="286"/>
      <c r="I1775" s="1192">
        <f>+'2019 MILCON Inflation Table'!F13</f>
        <v>1.0963107786467188</v>
      </c>
      <c r="J1775" s="1193"/>
      <c r="K1775" s="106">
        <f>+E1775*I1775</f>
        <v>293.44950612036723</v>
      </c>
      <c r="L1775" s="97" t="s">
        <v>8</v>
      </c>
      <c r="M1775" s="1146"/>
      <c r="N1775" s="1103"/>
      <c r="O1775"/>
      <c r="P1775" s="148"/>
      <c r="Q1775" s="147"/>
      <c r="R1775" s="149"/>
      <c r="T1775" s="38"/>
      <c r="U1775" s="38"/>
      <c r="V1775" s="38"/>
      <c r="W1775" s="38"/>
      <c r="X1775" s="38"/>
    </row>
    <row r="1776" spans="1:24" s="38" customFormat="1" ht="30" customHeight="1">
      <c r="A1776" s="20">
        <v>21140</v>
      </c>
      <c r="B1776" s="1176" t="s">
        <v>1216</v>
      </c>
      <c r="C1776" s="1177"/>
      <c r="D1776" s="1178"/>
      <c r="E1776" s="153">
        <v>229</v>
      </c>
      <c r="F1776" s="316">
        <v>26000</v>
      </c>
      <c r="G1776" s="286" t="s">
        <v>8</v>
      </c>
      <c r="H1776" s="286"/>
      <c r="I1776" s="1546">
        <f>+'2019 MILCON Inflation Table'!F10</f>
        <v>1.2327470846874402</v>
      </c>
      <c r="J1776" s="1547"/>
      <c r="K1776" s="106">
        <f>+E1776*I1776</f>
        <v>282.29908239342382</v>
      </c>
      <c r="L1776" s="97" t="s">
        <v>8</v>
      </c>
      <c r="M1776" s="1146"/>
      <c r="N1776" s="1103"/>
      <c r="P1776" s="148"/>
      <c r="Q1776" s="147"/>
      <c r="R1776" s="149"/>
      <c r="T1776"/>
      <c r="U1776"/>
      <c r="V1776"/>
      <c r="W1776"/>
      <c r="X1776"/>
    </row>
    <row r="1777" spans="1:18" ht="30" customHeight="1">
      <c r="A1777" s="20"/>
      <c r="B1777" s="436"/>
      <c r="C1777" s="437"/>
      <c r="D1777" s="325"/>
      <c r="E1777" s="287"/>
      <c r="F1777" s="527"/>
      <c r="G1777" s="528"/>
      <c r="H1777" s="529"/>
      <c r="I1777" s="530"/>
      <c r="J1777" s="531" t="s">
        <v>311</v>
      </c>
      <c r="K1777" s="106">
        <f>AVERAGE(K1773:K1776)</f>
        <v>299.13752477195226</v>
      </c>
      <c r="L1777" s="97" t="s">
        <v>8</v>
      </c>
      <c r="M1777" s="1146"/>
      <c r="N1777" s="1103"/>
      <c r="O1777"/>
      <c r="P1777" s="148"/>
      <c r="Q1777" s="147"/>
      <c r="R1777" s="149"/>
    </row>
    <row r="1778" spans="1:18" ht="30" customHeight="1" thickBot="1">
      <c r="A1778" s="20"/>
      <c r="B1778" s="1179"/>
      <c r="C1778" s="1180"/>
      <c r="D1778" s="1181"/>
      <c r="E1778" s="181"/>
      <c r="F1778" s="338"/>
      <c r="G1778" s="181"/>
      <c r="H1778" s="339"/>
      <c r="I1778" s="18"/>
      <c r="J1778" s="79" t="s">
        <v>289</v>
      </c>
      <c r="K1778" s="107">
        <f>+K1777</f>
        <v>299.13752477195226</v>
      </c>
      <c r="L1778" s="97" t="s">
        <v>8</v>
      </c>
      <c r="M1778" s="1146"/>
      <c r="N1778" s="1103"/>
      <c r="O1778"/>
      <c r="P1778" s="148"/>
      <c r="Q1778" s="147"/>
      <c r="R1778" s="149"/>
    </row>
    <row r="1779" spans="1:18" ht="30" customHeight="1" thickBot="1">
      <c r="A1779" s="1165"/>
      <c r="B1779" s="1166"/>
      <c r="C1779" s="1166"/>
      <c r="D1779" s="1166"/>
      <c r="E1779" s="1166"/>
      <c r="F1779" s="1166"/>
      <c r="G1779" s="1166"/>
      <c r="H1779" s="1166"/>
      <c r="I1779" s="1166"/>
      <c r="J1779" s="1166"/>
      <c r="K1779" s="1166"/>
      <c r="L1779" s="1167"/>
      <c r="M1779" s="1146"/>
      <c r="N1779" s="1103"/>
      <c r="O1779"/>
      <c r="P1779" s="148"/>
      <c r="Q1779" s="147"/>
      <c r="R1779" s="149"/>
    </row>
    <row r="1780" spans="1:18" ht="30" customHeight="1">
      <c r="A1780" s="81" t="s">
        <v>280</v>
      </c>
      <c r="B1780" s="82">
        <v>3121</v>
      </c>
      <c r="C1780" s="1228" t="s">
        <v>1217</v>
      </c>
      <c r="D1780" s="1229"/>
      <c r="E1780" s="74" t="s">
        <v>282</v>
      </c>
      <c r="F1780" s="75" t="s">
        <v>8</v>
      </c>
      <c r="G1780" s="58" t="s">
        <v>290</v>
      </c>
      <c r="H1780" s="104">
        <v>11998</v>
      </c>
      <c r="I1780" s="74" t="s">
        <v>283</v>
      </c>
      <c r="J1780" s="1551" t="s">
        <v>1213</v>
      </c>
      <c r="K1780" s="1552"/>
      <c r="L1780" s="1553"/>
      <c r="M1780" s="1146"/>
      <c r="N1780" s="1103"/>
      <c r="O1780"/>
      <c r="P1780" s="148"/>
      <c r="Q1780" s="147"/>
      <c r="R1780" s="149"/>
    </row>
    <row r="1781" spans="1:18" ht="30" customHeight="1">
      <c r="A1781" s="77" t="s">
        <v>293</v>
      </c>
      <c r="B1781" s="1232" t="s">
        <v>284</v>
      </c>
      <c r="C1781" s="1232"/>
      <c r="D1781" s="1232"/>
      <c r="E1781" s="96" t="s">
        <v>295</v>
      </c>
      <c r="F1781" s="77" t="s">
        <v>294</v>
      </c>
      <c r="G1781" s="1365" t="s">
        <v>2</v>
      </c>
      <c r="H1781" s="1366"/>
      <c r="I1781" s="1233" t="s">
        <v>426</v>
      </c>
      <c r="J1781" s="1234"/>
      <c r="K1781" s="1206" t="s">
        <v>297</v>
      </c>
      <c r="L1781" s="1207"/>
      <c r="M1781" s="1146"/>
      <c r="N1781" s="1103"/>
      <c r="O1781"/>
      <c r="P1781" s="148"/>
      <c r="Q1781" s="147"/>
      <c r="R1781" s="149"/>
    </row>
    <row r="1782" spans="1:18" ht="30" customHeight="1">
      <c r="A1782" s="20">
        <v>31010</v>
      </c>
      <c r="B1782" s="1179" t="s">
        <v>1214</v>
      </c>
      <c r="C1782" s="1180"/>
      <c r="D1782" s="1181"/>
      <c r="E1782" s="153">
        <v>247</v>
      </c>
      <c r="F1782" s="316">
        <v>9000</v>
      </c>
      <c r="G1782" s="286" t="s">
        <v>8</v>
      </c>
      <c r="H1782" s="286"/>
      <c r="I1782" s="1546">
        <f>+'2019 MILCON Inflation Table'!F8</f>
        <v>1.2987915407854984</v>
      </c>
      <c r="J1782" s="1547"/>
      <c r="K1782" s="99">
        <f>+E1782*I1782</f>
        <v>320.8015105740181</v>
      </c>
      <c r="L1782" s="97" t="s">
        <v>8</v>
      </c>
      <c r="M1782" s="1146"/>
      <c r="N1782" s="1103"/>
      <c r="O1782"/>
      <c r="P1782" s="148"/>
      <c r="Q1782" s="147"/>
      <c r="R1782" s="149"/>
    </row>
    <row r="1783" spans="1:18" ht="30" customHeight="1">
      <c r="A1783" s="20">
        <v>21110</v>
      </c>
      <c r="B1783" s="1176" t="s">
        <v>2631</v>
      </c>
      <c r="C1783" s="1177"/>
      <c r="D1783" s="1178"/>
      <c r="E1783" s="153">
        <v>300</v>
      </c>
      <c r="F1783" s="316">
        <v>78000</v>
      </c>
      <c r="G1783" s="286" t="s">
        <v>8</v>
      </c>
      <c r="H1783" s="286"/>
      <c r="I1783" s="1192" t="s">
        <v>2633</v>
      </c>
      <c r="J1783" s="1193"/>
      <c r="K1783" s="99">
        <f>+E1783</f>
        <v>300</v>
      </c>
      <c r="L1783" s="97" t="s">
        <v>8</v>
      </c>
      <c r="M1783" s="1146"/>
      <c r="N1783" s="1103"/>
      <c r="O1783"/>
      <c r="P1783" s="148"/>
      <c r="Q1783" s="147"/>
      <c r="R1783" s="149"/>
    </row>
    <row r="1784" spans="1:18" ht="30" customHeight="1">
      <c r="A1784" s="20">
        <v>21120</v>
      </c>
      <c r="B1784" s="1176" t="s">
        <v>1215</v>
      </c>
      <c r="C1784" s="1177"/>
      <c r="D1784" s="1178"/>
      <c r="E1784" s="153">
        <v>267.67</v>
      </c>
      <c r="F1784" s="316">
        <v>32000</v>
      </c>
      <c r="G1784" s="286" t="s">
        <v>8</v>
      </c>
      <c r="H1784" s="286"/>
      <c r="I1784" s="1192">
        <f>+'2019 MILCON Inflation Table'!F13</f>
        <v>1.0963107786467188</v>
      </c>
      <c r="J1784" s="1193"/>
      <c r="K1784" s="99">
        <f>+E1784*I1784</f>
        <v>293.44950612036723</v>
      </c>
      <c r="L1784" s="97" t="s">
        <v>8</v>
      </c>
      <c r="M1784" s="1146"/>
      <c r="N1784" s="282"/>
      <c r="O1784" s="34"/>
      <c r="P1784" s="283"/>
      <c r="Q1784" s="282"/>
      <c r="R1784" s="284"/>
    </row>
    <row r="1785" spans="1:18" ht="30" customHeight="1">
      <c r="A1785" s="20">
        <v>21210</v>
      </c>
      <c r="B1785" s="1176" t="s">
        <v>1218</v>
      </c>
      <c r="C1785" s="1177"/>
      <c r="D1785" s="1178"/>
      <c r="E1785" s="153">
        <v>208</v>
      </c>
      <c r="F1785" s="316">
        <v>10300</v>
      </c>
      <c r="G1785" s="286" t="s">
        <v>8</v>
      </c>
      <c r="H1785" s="286"/>
      <c r="I1785" s="1546">
        <f>+'2019 MILCON Inflation Table'!F8</f>
        <v>1.2987915407854984</v>
      </c>
      <c r="J1785" s="1547"/>
      <c r="K1785" s="99">
        <f>+E1785*I1785</f>
        <v>270.14864048338364</v>
      </c>
      <c r="L1785" s="97" t="s">
        <v>8</v>
      </c>
      <c r="M1785" s="1146"/>
      <c r="N1785" s="282"/>
      <c r="O1785" s="34"/>
      <c r="P1785" s="283"/>
      <c r="Q1785" s="282"/>
      <c r="R1785" s="284"/>
    </row>
    <row r="1786" spans="1:18" ht="30" customHeight="1">
      <c r="A1786" s="20"/>
      <c r="B1786" s="436"/>
      <c r="C1786" s="437"/>
      <c r="D1786" s="325"/>
      <c r="E1786" s="287"/>
      <c r="F1786" s="527"/>
      <c r="G1786" s="528"/>
      <c r="H1786" s="529"/>
      <c r="I1786" s="530"/>
      <c r="J1786" s="531" t="s">
        <v>311</v>
      </c>
      <c r="K1786" s="99">
        <f>AVERAGE(K1782:K1785)</f>
        <v>296.09991429444221</v>
      </c>
      <c r="L1786" s="97" t="s">
        <v>8</v>
      </c>
      <c r="M1786" s="1146"/>
      <c r="N1786" s="1103"/>
      <c r="O1786"/>
      <c r="P1786" s="148"/>
      <c r="Q1786" s="147"/>
      <c r="R1786" s="149"/>
    </row>
    <row r="1787" spans="1:18" ht="30" customHeight="1" thickBot="1">
      <c r="A1787" s="20"/>
      <c r="B1787" s="1179"/>
      <c r="C1787" s="1180"/>
      <c r="D1787" s="1181"/>
      <c r="E1787" s="181"/>
      <c r="F1787" s="338"/>
      <c r="G1787" s="181"/>
      <c r="H1787" s="339"/>
      <c r="I1787" s="18"/>
      <c r="J1787" s="79" t="s">
        <v>289</v>
      </c>
      <c r="K1787" s="103">
        <f>AVERAGE(K1782:K1785)</f>
        <v>296.09991429444221</v>
      </c>
      <c r="L1787" s="97" t="s">
        <v>8</v>
      </c>
      <c r="M1787" s="1146"/>
      <c r="N1787" s="1103"/>
      <c r="O1787"/>
      <c r="P1787" s="148"/>
      <c r="Q1787" s="147"/>
      <c r="R1787" s="149"/>
    </row>
    <row r="1788" spans="1:18" ht="30" customHeight="1" thickBot="1">
      <c r="A1788" s="1165"/>
      <c r="B1788" s="1166"/>
      <c r="C1788" s="1166"/>
      <c r="D1788" s="1166"/>
      <c r="E1788" s="1166"/>
      <c r="F1788" s="1166"/>
      <c r="G1788" s="1166"/>
      <c r="H1788" s="1166"/>
      <c r="I1788" s="1166"/>
      <c r="J1788" s="1166"/>
      <c r="K1788" s="1166"/>
      <c r="L1788" s="1167"/>
      <c r="M1788" s="1146"/>
      <c r="N1788" s="1103"/>
      <c r="O1788"/>
      <c r="P1788" s="148"/>
      <c r="Q1788" s="147"/>
      <c r="R1788" s="149"/>
    </row>
    <row r="1789" spans="1:18" ht="30" customHeight="1">
      <c r="A1789" s="108" t="s">
        <v>280</v>
      </c>
      <c r="B1789" s="109">
        <v>3131</v>
      </c>
      <c r="C1789" s="1555" t="s">
        <v>1219</v>
      </c>
      <c r="D1789" s="1555"/>
      <c r="E1789" s="110" t="s">
        <v>282</v>
      </c>
      <c r="F1789" s="111" t="s">
        <v>8</v>
      </c>
      <c r="G1789" s="58" t="s">
        <v>290</v>
      </c>
      <c r="H1789" s="455">
        <v>31316</v>
      </c>
      <c r="I1789" s="110" t="s">
        <v>283</v>
      </c>
      <c r="J1789" s="1199" t="s">
        <v>2529</v>
      </c>
      <c r="K1789" s="1199"/>
      <c r="L1789" s="1200"/>
      <c r="M1789" s="1146"/>
      <c r="N1789" s="1103"/>
      <c r="O1789"/>
      <c r="P1789" s="148"/>
      <c r="Q1789" s="147"/>
      <c r="R1789" s="149"/>
    </row>
    <row r="1790" spans="1:18" ht="30" customHeight="1">
      <c r="A1790" s="294" t="s">
        <v>304</v>
      </c>
      <c r="B1790" s="1436" t="s">
        <v>330</v>
      </c>
      <c r="C1790" s="1437"/>
      <c r="D1790" s="1438"/>
      <c r="E1790" s="532" t="s">
        <v>295</v>
      </c>
      <c r="F1790" s="532" t="s">
        <v>331</v>
      </c>
      <c r="G1790" s="1312" t="s">
        <v>332</v>
      </c>
      <c r="H1790" s="1313"/>
      <c r="I1790" s="533" t="s">
        <v>1007</v>
      </c>
      <c r="J1790" s="167" t="s">
        <v>305</v>
      </c>
      <c r="K1790" s="1554" t="s">
        <v>297</v>
      </c>
      <c r="L1790" s="1554"/>
      <c r="M1790" s="1146"/>
      <c r="N1790" s="1103"/>
      <c r="O1790"/>
      <c r="P1790" s="148"/>
      <c r="Q1790" s="147"/>
      <c r="R1790" s="149"/>
    </row>
    <row r="1791" spans="1:18" ht="30" customHeight="1">
      <c r="A1791" s="24" t="s">
        <v>980</v>
      </c>
      <c r="B1791" s="1162" t="s">
        <v>1220</v>
      </c>
      <c r="C1791" s="1163"/>
      <c r="D1791" s="1164"/>
      <c r="E1791" s="115">
        <v>97.5</v>
      </c>
      <c r="F1791" s="24" t="s">
        <v>8</v>
      </c>
      <c r="G1791" s="534"/>
      <c r="H1791" s="535"/>
      <c r="I1791" s="536">
        <f>+E1791</f>
        <v>97.5</v>
      </c>
      <c r="J1791" s="10">
        <v>1.05</v>
      </c>
      <c r="K1791" s="416">
        <f>+I1791*J1791</f>
        <v>102.375</v>
      </c>
      <c r="L1791" s="390" t="s">
        <v>8</v>
      </c>
      <c r="M1791" s="1146"/>
      <c r="N1791" s="1103"/>
      <c r="O1791"/>
      <c r="P1791" s="148"/>
      <c r="Q1791" s="147"/>
      <c r="R1791" s="149"/>
    </row>
    <row r="1792" spans="1:18" ht="30" customHeight="1">
      <c r="A1792" s="24" t="s">
        <v>377</v>
      </c>
      <c r="B1792" s="1162" t="s">
        <v>1040</v>
      </c>
      <c r="C1792" s="1163"/>
      <c r="D1792" s="1164"/>
      <c r="E1792" s="142">
        <v>3.44</v>
      </c>
      <c r="F1792" s="24" t="s">
        <v>8</v>
      </c>
      <c r="G1792" s="538"/>
      <c r="H1792" s="539"/>
      <c r="I1792" s="540">
        <f>+E1792</f>
        <v>3.44</v>
      </c>
      <c r="J1792" s="10">
        <v>1.05</v>
      </c>
      <c r="K1792" s="416">
        <f t="shared" ref="K1792:K1801" si="40">+I1792*J1792</f>
        <v>3.6120000000000001</v>
      </c>
      <c r="L1792" s="390" t="s">
        <v>8</v>
      </c>
      <c r="M1792" s="1146"/>
      <c r="N1792" s="1103"/>
      <c r="O1792"/>
      <c r="P1792" s="148"/>
      <c r="Q1792" s="147"/>
      <c r="R1792" s="149"/>
    </row>
    <row r="1793" spans="1:24" ht="30" customHeight="1">
      <c r="A1793" s="24" t="s">
        <v>461</v>
      </c>
      <c r="B1793" s="1162" t="s">
        <v>2708</v>
      </c>
      <c r="C1793" s="1163"/>
      <c r="D1793" s="1164"/>
      <c r="E1793" s="115">
        <v>166000</v>
      </c>
      <c r="F1793" s="541" t="s">
        <v>10</v>
      </c>
      <c r="G1793" s="542">
        <f>+(E1793*2)/H1789</f>
        <v>10.601609400945204</v>
      </c>
      <c r="H1793" s="539" t="s">
        <v>1011</v>
      </c>
      <c r="I1793" s="540">
        <f>+E1793*2/H1789</f>
        <v>10.601609400945204</v>
      </c>
      <c r="J1793" s="10">
        <v>1.07</v>
      </c>
      <c r="K1793" s="416">
        <f t="shared" si="40"/>
        <v>11.34372205901137</v>
      </c>
      <c r="L1793" s="390" t="s">
        <v>8</v>
      </c>
      <c r="M1793" s="1146"/>
      <c r="N1793" s="1103"/>
      <c r="O1793"/>
      <c r="P1793" s="148"/>
      <c r="Q1793" s="147"/>
      <c r="R1793" s="149"/>
    </row>
    <row r="1794" spans="1:24" ht="30" customHeight="1">
      <c r="A1794" s="24" t="s">
        <v>461</v>
      </c>
      <c r="B1794" s="1162" t="s">
        <v>2707</v>
      </c>
      <c r="C1794" s="1163"/>
      <c r="D1794" s="1164"/>
      <c r="E1794" s="115">
        <f>+(228+250)/2</f>
        <v>239</v>
      </c>
      <c r="F1794" s="541" t="s">
        <v>6</v>
      </c>
      <c r="G1794" s="7">
        <f>414/H1789</f>
        <v>1.3220079192744923E-2</v>
      </c>
      <c r="H1794" s="539" t="s">
        <v>1011</v>
      </c>
      <c r="I1794" s="540">
        <f>+E1794*G1794</f>
        <v>3.1595989270660367</v>
      </c>
      <c r="J1794" s="10">
        <v>1.07</v>
      </c>
      <c r="K1794" s="416">
        <f t="shared" si="40"/>
        <v>3.3807708519606594</v>
      </c>
      <c r="L1794" s="390" t="s">
        <v>8</v>
      </c>
      <c r="M1794" s="1146"/>
      <c r="N1794" s="1103"/>
      <c r="O1794"/>
      <c r="P1794" s="148"/>
      <c r="Q1794" s="147"/>
      <c r="R1794" s="149"/>
    </row>
    <row r="1795" spans="1:24" ht="30" customHeight="1">
      <c r="A1795" s="24" t="s">
        <v>461</v>
      </c>
      <c r="B1795" s="1162" t="s">
        <v>1165</v>
      </c>
      <c r="C1795" s="1163"/>
      <c r="D1795" s="1164"/>
      <c r="E1795" s="115">
        <f>+(22.2+44.75)/2</f>
        <v>33.475000000000001</v>
      </c>
      <c r="F1795" s="541" t="s">
        <v>6</v>
      </c>
      <c r="G1795" s="542">
        <f>344/H1789</f>
        <v>1.0984800102184188E-2</v>
      </c>
      <c r="H1795" s="539" t="s">
        <v>1011</v>
      </c>
      <c r="I1795" s="540">
        <f>+E1795*G1795</f>
        <v>0.36771618342061568</v>
      </c>
      <c r="J1795" s="10">
        <v>1.07</v>
      </c>
      <c r="K1795" s="416">
        <f t="shared" si="40"/>
        <v>0.39345631626005878</v>
      </c>
      <c r="L1795" s="390" t="s">
        <v>8</v>
      </c>
      <c r="M1795" s="1146"/>
      <c r="N1795" s="1103"/>
      <c r="O1795"/>
      <c r="P1795" s="148"/>
      <c r="Q1795" s="147"/>
      <c r="R1795" s="149"/>
    </row>
    <row r="1796" spans="1:24" ht="30" customHeight="1">
      <c r="A1796" s="24" t="s">
        <v>395</v>
      </c>
      <c r="B1796" s="1439" t="s">
        <v>2705</v>
      </c>
      <c r="C1796" s="1440"/>
      <c r="D1796" s="1441"/>
      <c r="E1796" s="416">
        <f>(19.15+29.75)/2</f>
        <v>24.45</v>
      </c>
      <c r="F1796" s="541" t="s">
        <v>396</v>
      </c>
      <c r="G1796" s="543">
        <f>3*81*E1796/H1789</f>
        <v>0.18972250606718608</v>
      </c>
      <c r="H1796" s="539" t="s">
        <v>1011</v>
      </c>
      <c r="I1796" s="540">
        <f>+G1796</f>
        <v>0.18972250606718608</v>
      </c>
      <c r="J1796" s="10">
        <v>1.06</v>
      </c>
      <c r="K1796" s="416">
        <f t="shared" si="40"/>
        <v>0.20110585643121726</v>
      </c>
      <c r="L1796" s="390" t="s">
        <v>8</v>
      </c>
      <c r="M1796" s="1146"/>
      <c r="N1796" s="1103"/>
      <c r="O1796"/>
      <c r="P1796" s="148"/>
      <c r="Q1796" s="147"/>
      <c r="R1796" s="149"/>
      <c r="T1796" s="32"/>
      <c r="U1796" s="34"/>
    </row>
    <row r="1797" spans="1:24" ht="30" customHeight="1">
      <c r="A1797" s="24" t="s">
        <v>395</v>
      </c>
      <c r="B1797" s="1439" t="s">
        <v>2706</v>
      </c>
      <c r="C1797" s="1440"/>
      <c r="D1797" s="1441"/>
      <c r="E1797" s="416">
        <f>(1610+2280)/2</f>
        <v>1945</v>
      </c>
      <c r="F1797" s="541" t="s">
        <v>10</v>
      </c>
      <c r="G1797" s="543">
        <f>3*E1797/H1789</f>
        <v>0.18632647847745562</v>
      </c>
      <c r="H1797" s="539" t="s">
        <v>1011</v>
      </c>
      <c r="I1797" s="540">
        <f>+G1797</f>
        <v>0.18632647847745562</v>
      </c>
      <c r="J1797" s="10">
        <v>1.06</v>
      </c>
      <c r="K1797" s="416">
        <f t="shared" si="40"/>
        <v>0.19750606718610297</v>
      </c>
      <c r="L1797" s="390" t="s">
        <v>8</v>
      </c>
      <c r="M1797" s="1146"/>
      <c r="N1797" s="125"/>
      <c r="O1797" s="33"/>
      <c r="P1797" s="32"/>
      <c r="Q1797" s="32"/>
      <c r="R1797" s="32"/>
      <c r="S1797" s="32"/>
      <c r="U1797" s="34"/>
    </row>
    <row r="1798" spans="1:24" ht="30" customHeight="1">
      <c r="A1798" s="24" t="s">
        <v>398</v>
      </c>
      <c r="B1798" s="1439" t="s">
        <v>1224</v>
      </c>
      <c r="C1798" s="1440"/>
      <c r="D1798" s="1441"/>
      <c r="E1798" s="416">
        <f>+(31.5+75)/2</f>
        <v>53.25</v>
      </c>
      <c r="F1798" s="541" t="s">
        <v>6</v>
      </c>
      <c r="G1798" s="538">
        <v>30</v>
      </c>
      <c r="H1798" s="539" t="s">
        <v>1150</v>
      </c>
      <c r="I1798" s="540">
        <f>+E1798*G1798/H1789</f>
        <v>5.101226210243965E-2</v>
      </c>
      <c r="J1798" s="10">
        <v>1.04</v>
      </c>
      <c r="K1798" s="416">
        <f t="shared" si="40"/>
        <v>5.3052752586537237E-2</v>
      </c>
      <c r="L1798" s="390" t="s">
        <v>8</v>
      </c>
      <c r="M1798" s="1146"/>
    </row>
    <row r="1799" spans="1:24" ht="30" customHeight="1">
      <c r="A1799" s="24" t="s">
        <v>398</v>
      </c>
      <c r="B1799" s="1439" t="s">
        <v>1225</v>
      </c>
      <c r="C1799" s="1440"/>
      <c r="D1799" s="1441"/>
      <c r="E1799" s="416">
        <f>+(5900+11300)/2</f>
        <v>8600</v>
      </c>
      <c r="F1799" s="541" t="s">
        <v>10</v>
      </c>
      <c r="G1799" s="538">
        <v>3</v>
      </c>
      <c r="H1799" s="539" t="s">
        <v>1011</v>
      </c>
      <c r="I1799" s="540">
        <f>+E1799*3/H1789</f>
        <v>0.82386000766381406</v>
      </c>
      <c r="J1799" s="10">
        <v>1.04</v>
      </c>
      <c r="K1799" s="416">
        <f t="shared" si="40"/>
        <v>0.85681440797036668</v>
      </c>
      <c r="L1799" s="390" t="s">
        <v>8</v>
      </c>
      <c r="M1799" s="1146"/>
      <c r="N1799" s="1103"/>
      <c r="O1799"/>
      <c r="P1799" s="148"/>
      <c r="Q1799" s="147"/>
      <c r="R1799" s="149"/>
      <c r="T1799" s="38"/>
      <c r="U1799" s="38"/>
      <c r="V1799" s="38"/>
      <c r="W1799" s="38"/>
      <c r="X1799" s="38"/>
    </row>
    <row r="1800" spans="1:24" s="38" customFormat="1" ht="30" customHeight="1">
      <c r="A1800" s="24" t="s">
        <v>398</v>
      </c>
      <c r="B1800" s="1439" t="s">
        <v>2710</v>
      </c>
      <c r="C1800" s="1440"/>
      <c r="D1800" s="1441"/>
      <c r="E1800" s="253">
        <f>+(605+925)/2</f>
        <v>765</v>
      </c>
      <c r="F1800" s="541" t="s">
        <v>10</v>
      </c>
      <c r="G1800" s="538">
        <v>3</v>
      </c>
      <c r="H1800" s="539" t="s">
        <v>1011</v>
      </c>
      <c r="I1800" s="540">
        <f>+E1800*3/H1789</f>
        <v>7.3285221611955553E-2</v>
      </c>
      <c r="J1800" s="10">
        <v>1.04</v>
      </c>
      <c r="K1800" s="416">
        <f t="shared" si="40"/>
        <v>7.6216630476433775E-2</v>
      </c>
      <c r="L1800" s="390" t="s">
        <v>8</v>
      </c>
      <c r="M1800" s="1146"/>
      <c r="N1800" s="1103"/>
      <c r="P1800" s="148"/>
      <c r="Q1800" s="147"/>
      <c r="R1800" s="149"/>
      <c r="T1800"/>
      <c r="U1800"/>
      <c r="V1800"/>
      <c r="W1800"/>
      <c r="X1800"/>
    </row>
    <row r="1801" spans="1:24" ht="30" customHeight="1">
      <c r="A1801" s="24" t="s">
        <v>398</v>
      </c>
      <c r="B1801" s="1439" t="s">
        <v>1226</v>
      </c>
      <c r="C1801" s="1440"/>
      <c r="D1801" s="1441"/>
      <c r="E1801" s="416">
        <f>+(1060+3175)/2</f>
        <v>2117.5</v>
      </c>
      <c r="F1801" s="541" t="s">
        <v>10</v>
      </c>
      <c r="G1801" s="538">
        <v>3</v>
      </c>
      <c r="H1801" s="539" t="s">
        <v>1011</v>
      </c>
      <c r="I1801" s="540">
        <f>+E1801*3/H1789</f>
        <v>0.20285157746838678</v>
      </c>
      <c r="J1801" s="10">
        <v>1.04</v>
      </c>
      <c r="K1801" s="416">
        <f t="shared" si="40"/>
        <v>0.21096564056712225</v>
      </c>
      <c r="L1801" s="390" t="s">
        <v>8</v>
      </c>
      <c r="M1801" s="1146"/>
      <c r="N1801" s="973"/>
      <c r="O1801"/>
      <c r="P1801" s="148"/>
      <c r="Q1801" s="147"/>
      <c r="R1801" s="149"/>
    </row>
    <row r="1802" spans="1:24" ht="30" customHeight="1">
      <c r="A1802" s="24"/>
      <c r="B1802" s="1340"/>
      <c r="C1802" s="1340"/>
      <c r="D1802" s="1340"/>
      <c r="E1802" s="416"/>
      <c r="F1802" s="24"/>
      <c r="G1802" s="544"/>
      <c r="H1802" s="418"/>
      <c r="I1802" s="418"/>
      <c r="J1802" s="24" t="s">
        <v>379</v>
      </c>
      <c r="K1802" s="416">
        <f>SUM(K1791:K1801)</f>
        <v>122.70061058244985</v>
      </c>
      <c r="L1802" s="390" t="s">
        <v>8</v>
      </c>
      <c r="M1802" s="1146"/>
      <c r="N1802" s="973"/>
      <c r="O1802"/>
      <c r="P1802" s="148"/>
      <c r="Q1802" s="147"/>
      <c r="R1802" s="149"/>
    </row>
    <row r="1803" spans="1:24" ht="30" customHeight="1">
      <c r="A1803" s="45"/>
      <c r="B1803" s="189"/>
      <c r="C1803" s="189"/>
      <c r="D1803" s="189"/>
      <c r="E1803" s="189"/>
      <c r="F1803" s="1367" t="s">
        <v>308</v>
      </c>
      <c r="G1803" s="1559" t="s">
        <v>309</v>
      </c>
      <c r="H1803" s="1560"/>
      <c r="I1803" s="1560"/>
      <c r="J1803" s="1561"/>
      <c r="K1803" s="123">
        <v>1.08</v>
      </c>
      <c r="L1803" s="24"/>
      <c r="M1803" s="1146"/>
      <c r="N1803" s="1103"/>
      <c r="O1803"/>
      <c r="P1803" s="148"/>
      <c r="Q1803" s="147"/>
      <c r="R1803" s="149"/>
    </row>
    <row r="1804" spans="1:24" ht="30" customHeight="1">
      <c r="A1804" s="45"/>
      <c r="B1804" s="189"/>
      <c r="C1804" s="189"/>
      <c r="D1804" s="189"/>
      <c r="E1804" s="189"/>
      <c r="F1804" s="1368"/>
      <c r="G1804" s="1562" t="s">
        <v>310</v>
      </c>
      <c r="H1804" s="1563"/>
      <c r="I1804" s="1563"/>
      <c r="J1804" s="1564"/>
      <c r="K1804" s="123">
        <v>1.07</v>
      </c>
      <c r="L1804" s="24"/>
      <c r="M1804" s="1146"/>
      <c r="N1804" s="1103"/>
      <c r="O1804"/>
      <c r="P1804" s="148"/>
      <c r="Q1804" s="147"/>
      <c r="R1804" s="149"/>
    </row>
    <row r="1805" spans="1:24" ht="30" customHeight="1">
      <c r="A1805" s="545"/>
      <c r="B1805" s="1556"/>
      <c r="C1805" s="1557"/>
      <c r="D1805" s="1557"/>
      <c r="E1805" s="1557"/>
      <c r="F1805" s="1557"/>
      <c r="G1805" s="1557"/>
      <c r="H1805" s="1558"/>
      <c r="I1805" s="47"/>
      <c r="J1805" s="24" t="s">
        <v>289</v>
      </c>
      <c r="K1805" s="17">
        <f>+K1802*K1803/K1804</f>
        <v>123.84734526079052</v>
      </c>
      <c r="L1805" s="390" t="s">
        <v>8</v>
      </c>
      <c r="M1805" s="1146"/>
      <c r="N1805" s="1103"/>
      <c r="O1805"/>
      <c r="P1805" s="148"/>
      <c r="Q1805" s="147"/>
      <c r="R1805" s="149"/>
    </row>
    <row r="1806" spans="1:24" ht="30" customHeight="1">
      <c r="A1806" s="545"/>
      <c r="B1806" s="546"/>
      <c r="C1806" s="547"/>
      <c r="D1806" s="547"/>
      <c r="E1806" s="547"/>
      <c r="F1806" s="547"/>
      <c r="H1806" s="47"/>
      <c r="I1806" s="548" t="s">
        <v>385</v>
      </c>
      <c r="J1806" s="178">
        <f>VLOOKUP(B1789,'Mil Cost Premiums for RUCs'!$A$4:$R$266,18,FALSE)</f>
        <v>1.3319480854780448</v>
      </c>
      <c r="K1806" s="17">
        <f>+K1805*J1806</f>
        <v>164.95823441164833</v>
      </c>
      <c r="L1806" s="390" t="s">
        <v>8</v>
      </c>
      <c r="M1806" s="1146"/>
      <c r="N1806" s="1103"/>
      <c r="O1806"/>
      <c r="P1806" s="148"/>
      <c r="Q1806" s="147"/>
      <c r="R1806" s="149"/>
    </row>
    <row r="1807" spans="1:24" ht="60" customHeight="1">
      <c r="A1807" s="1335" t="s">
        <v>313</v>
      </c>
      <c r="B1807" s="1335"/>
      <c r="C1807" s="1335"/>
      <c r="D1807" s="1335"/>
      <c r="E1807" s="1335"/>
      <c r="F1807" s="1335"/>
      <c r="G1807" s="1335"/>
      <c r="H1807" s="1335"/>
      <c r="I1807" s="1335"/>
      <c r="J1807" s="1335"/>
      <c r="K1807" s="1335"/>
      <c r="L1807" s="1335"/>
      <c r="M1807" s="1146"/>
      <c r="N1807" s="282"/>
      <c r="O1807" s="34"/>
      <c r="P1807" s="283"/>
      <c r="Q1807" s="282"/>
      <c r="R1807" s="284"/>
    </row>
    <row r="1808" spans="1:24" ht="30" customHeight="1">
      <c r="A1808" s="1221" t="s">
        <v>314</v>
      </c>
      <c r="B1808" s="1221"/>
      <c r="C1808" s="1221"/>
      <c r="D1808" s="1332" t="s">
        <v>1227</v>
      </c>
      <c r="E1808" s="1332"/>
      <c r="F1808" s="1332"/>
      <c r="G1808" s="1332"/>
      <c r="H1808" s="1332"/>
      <c r="I1808" s="1332"/>
      <c r="J1808" s="1332"/>
      <c r="K1808" s="1332"/>
      <c r="L1808" s="1332"/>
      <c r="M1808" s="1146"/>
      <c r="N1808" s="282"/>
      <c r="O1808" s="34"/>
      <c r="P1808" s="283"/>
      <c r="Q1808" s="282"/>
      <c r="R1808" s="284"/>
    </row>
    <row r="1809" spans="1:24" ht="30" customHeight="1">
      <c r="A1809" s="1221" t="s">
        <v>316</v>
      </c>
      <c r="B1809" s="1221"/>
      <c r="C1809" s="1221"/>
      <c r="D1809" s="1332" t="s">
        <v>2635</v>
      </c>
      <c r="E1809" s="1332"/>
      <c r="F1809" s="1332"/>
      <c r="G1809" s="1332"/>
      <c r="H1809" s="1332"/>
      <c r="I1809" s="1332"/>
      <c r="J1809" s="1332"/>
      <c r="K1809" s="1332"/>
      <c r="L1809" s="1332"/>
      <c r="M1809" s="1146"/>
      <c r="N1809" s="1103"/>
      <c r="O1809"/>
      <c r="P1809" s="148"/>
      <c r="Q1809" s="147"/>
      <c r="R1809" s="149"/>
    </row>
    <row r="1810" spans="1:24" ht="30" customHeight="1">
      <c r="A1810" s="1221" t="s">
        <v>317</v>
      </c>
      <c r="B1810" s="1221"/>
      <c r="C1810" s="1221"/>
      <c r="D1810" s="1332" t="s">
        <v>2634</v>
      </c>
      <c r="E1810" s="1332"/>
      <c r="F1810" s="1332"/>
      <c r="G1810" s="1332"/>
      <c r="H1810" s="1332"/>
      <c r="I1810" s="1332"/>
      <c r="J1810" s="1332"/>
      <c r="K1810" s="1332"/>
      <c r="L1810" s="1332"/>
      <c r="M1810" s="1146"/>
      <c r="N1810" s="1103"/>
      <c r="O1810"/>
      <c r="P1810" s="148"/>
      <c r="Q1810" s="147"/>
      <c r="R1810" s="149"/>
    </row>
    <row r="1811" spans="1:24" ht="30" customHeight="1">
      <c r="A1811" s="1221" t="s">
        <v>318</v>
      </c>
      <c r="B1811" s="1221"/>
      <c r="C1811" s="1221"/>
      <c r="D1811" s="1332" t="s">
        <v>1228</v>
      </c>
      <c r="E1811" s="1332"/>
      <c r="F1811" s="1332"/>
      <c r="G1811" s="1332"/>
      <c r="H1811" s="1332"/>
      <c r="I1811" s="1332"/>
      <c r="J1811" s="1332"/>
      <c r="K1811" s="1332"/>
      <c r="L1811" s="1332"/>
      <c r="M1811" s="1146"/>
      <c r="N1811" s="1103"/>
      <c r="O1811"/>
      <c r="P1811" s="148"/>
      <c r="Q1811" s="147"/>
      <c r="R1811" s="149"/>
      <c r="U1811" s="32"/>
      <c r="V1811" s="32"/>
      <c r="W1811" s="32"/>
      <c r="X1811" s="32"/>
    </row>
    <row r="1812" spans="1:24" s="32" customFormat="1" ht="75" customHeight="1">
      <c r="A1812" s="1221" t="s">
        <v>320</v>
      </c>
      <c r="B1812" s="1221"/>
      <c r="C1812" s="1221"/>
      <c r="D1812" s="1332" t="s">
        <v>2893</v>
      </c>
      <c r="E1812" s="1332"/>
      <c r="F1812" s="1332"/>
      <c r="G1812" s="1332"/>
      <c r="H1812" s="1332"/>
      <c r="I1812" s="1332"/>
      <c r="J1812" s="1332"/>
      <c r="K1812" s="1332"/>
      <c r="L1812" s="1332"/>
      <c r="M1812" s="1146"/>
      <c r="N1812" s="25"/>
      <c r="O1812" s="1119"/>
      <c r="P1812"/>
      <c r="Q1812"/>
      <c r="R1812"/>
      <c r="S1812"/>
      <c r="T1812" s="84"/>
      <c r="U1812" s="38"/>
      <c r="V1812" s="38"/>
      <c r="W1812" s="38"/>
      <c r="X1812" s="38"/>
    </row>
    <row r="1813" spans="1:24" s="38" customFormat="1" ht="30" customHeight="1">
      <c r="A1813" s="1221" t="s">
        <v>322</v>
      </c>
      <c r="B1813" s="1221"/>
      <c r="C1813" s="1221"/>
      <c r="D1813" s="1332" t="s">
        <v>1229</v>
      </c>
      <c r="E1813" s="1332"/>
      <c r="F1813" s="1332"/>
      <c r="G1813" s="1332"/>
      <c r="H1813" s="1332"/>
      <c r="I1813" s="1332"/>
      <c r="J1813" s="1332"/>
      <c r="K1813" s="1332"/>
      <c r="L1813" s="1332"/>
      <c r="M1813" s="1146"/>
      <c r="N1813" s="193"/>
      <c r="O1813" s="1119"/>
      <c r="P1813" s="39"/>
      <c r="Q1813" s="39"/>
      <c r="R1813" s="39"/>
      <c r="S1813" s="84"/>
      <c r="T1813" s="44"/>
      <c r="U1813"/>
      <c r="V1813"/>
      <c r="W1813"/>
      <c r="X1813"/>
    </row>
    <row r="1814" spans="1:24" ht="30" customHeight="1">
      <c r="A1814" s="1221" t="s">
        <v>324</v>
      </c>
      <c r="B1814" s="1221"/>
      <c r="C1814" s="1221"/>
      <c r="D1814" s="1332" t="s">
        <v>927</v>
      </c>
      <c r="E1814" s="1332"/>
      <c r="F1814" s="1332"/>
      <c r="G1814" s="1332"/>
      <c r="H1814" s="1332"/>
      <c r="I1814" s="1332"/>
      <c r="J1814" s="1332"/>
      <c r="K1814" s="1332"/>
      <c r="L1814" s="1332"/>
      <c r="M1814" s="1146"/>
      <c r="P1814" s="34"/>
      <c r="Q1814" s="34"/>
      <c r="R1814" s="34"/>
      <c r="S1814" s="44"/>
      <c r="T1814" s="32"/>
      <c r="U1814" s="34"/>
    </row>
    <row r="1815" spans="1:24" ht="75" customHeight="1">
      <c r="A1815" s="1221" t="s">
        <v>325</v>
      </c>
      <c r="B1815" s="1221"/>
      <c r="C1815" s="1221"/>
      <c r="D1815" s="1332" t="s">
        <v>391</v>
      </c>
      <c r="E1815" s="1332"/>
      <c r="F1815" s="1332"/>
      <c r="G1815" s="1332"/>
      <c r="H1815" s="1332"/>
      <c r="I1815" s="1332"/>
      <c r="J1815" s="1332"/>
      <c r="K1815" s="1332"/>
      <c r="L1815" s="1332"/>
      <c r="M1815" s="1146"/>
      <c r="N1815" s="125"/>
      <c r="O1815" s="33"/>
      <c r="P1815" s="32"/>
      <c r="Q1815" s="32"/>
      <c r="R1815" s="32"/>
      <c r="S1815" s="32"/>
      <c r="U1815" s="34"/>
    </row>
    <row r="1816" spans="1:24" ht="60" customHeight="1" thickBot="1">
      <c r="A1816" s="1565" t="s">
        <v>327</v>
      </c>
      <c r="B1816" s="1565"/>
      <c r="C1816" s="1565"/>
      <c r="D1816" s="1566" t="s">
        <v>1230</v>
      </c>
      <c r="E1816" s="1566"/>
      <c r="F1816" s="1566"/>
      <c r="G1816" s="1566"/>
      <c r="H1816" s="1566"/>
      <c r="I1816" s="1566"/>
      <c r="J1816" s="1566"/>
      <c r="K1816" s="1566"/>
      <c r="L1816" s="1566"/>
      <c r="M1816" s="1146"/>
      <c r="U1816" s="32"/>
      <c r="V1816" s="32"/>
      <c r="W1816" s="32"/>
      <c r="X1816" s="32"/>
    </row>
    <row r="1817" spans="1:24" s="32" customFormat="1" ht="30" customHeight="1" thickBot="1">
      <c r="A1817" s="1165"/>
      <c r="B1817" s="1166"/>
      <c r="C1817" s="1166"/>
      <c r="D1817" s="1166"/>
      <c r="E1817" s="1166"/>
      <c r="F1817" s="1166"/>
      <c r="G1817" s="1166"/>
      <c r="H1817" s="1166"/>
      <c r="I1817" s="1166"/>
      <c r="J1817" s="1166"/>
      <c r="K1817" s="1166"/>
      <c r="L1817" s="1167"/>
      <c r="M1817" s="1146"/>
      <c r="N1817" s="25"/>
      <c r="O1817" s="1119"/>
      <c r="P1817"/>
      <c r="Q1817"/>
      <c r="R1817"/>
      <c r="S1817"/>
      <c r="T1817" s="84"/>
      <c r="U1817" s="38"/>
      <c r="V1817" s="38"/>
      <c r="W1817" s="38"/>
      <c r="X1817" s="38"/>
    </row>
    <row r="1818" spans="1:24" s="38" customFormat="1" ht="30" customHeight="1">
      <c r="A1818" s="108" t="s">
        <v>280</v>
      </c>
      <c r="B1818" s="163">
        <v>3141</v>
      </c>
      <c r="C1818" s="1479" t="s">
        <v>1231</v>
      </c>
      <c r="D1818" s="1479"/>
      <c r="E1818" s="216" t="s">
        <v>282</v>
      </c>
      <c r="F1818" s="217" t="s">
        <v>8</v>
      </c>
      <c r="G1818" s="58" t="s">
        <v>290</v>
      </c>
      <c r="H1818" s="455">
        <v>17079</v>
      </c>
      <c r="I1818" s="216" t="s">
        <v>283</v>
      </c>
      <c r="J1818" s="1199" t="s">
        <v>2529</v>
      </c>
      <c r="K1818" s="1199"/>
      <c r="L1818" s="1200"/>
      <c r="M1818" s="1146"/>
      <c r="N1818" s="193"/>
      <c r="O1818" s="1119"/>
      <c r="P1818" s="39"/>
      <c r="Q1818" s="39"/>
      <c r="R1818" s="39"/>
      <c r="S1818" s="84"/>
      <c r="T1818" s="44"/>
      <c r="U1818"/>
      <c r="V1818"/>
      <c r="W1818"/>
      <c r="X1818"/>
    </row>
    <row r="1819" spans="1:24" ht="30" customHeight="1">
      <c r="A1819" s="294" t="s">
        <v>304</v>
      </c>
      <c r="B1819" s="1324" t="s">
        <v>330</v>
      </c>
      <c r="C1819" s="1325"/>
      <c r="D1819" s="1326"/>
      <c r="E1819" s="219" t="s">
        <v>295</v>
      </c>
      <c r="F1819" s="219" t="s">
        <v>331</v>
      </c>
      <c r="G1819" s="1206" t="s">
        <v>332</v>
      </c>
      <c r="H1819" s="1207"/>
      <c r="I1819" s="449" t="s">
        <v>1007</v>
      </c>
      <c r="J1819" s="167" t="s">
        <v>305</v>
      </c>
      <c r="K1819" s="1567" t="s">
        <v>297</v>
      </c>
      <c r="L1819" s="1567"/>
      <c r="M1819" s="1146"/>
      <c r="P1819" s="34"/>
      <c r="Q1819" s="34"/>
      <c r="R1819" s="34"/>
      <c r="S1819" s="44"/>
    </row>
    <row r="1820" spans="1:24" ht="30" customHeight="1">
      <c r="A1820" s="24" t="s">
        <v>980</v>
      </c>
      <c r="B1820" s="1162" t="s">
        <v>1232</v>
      </c>
      <c r="C1820" s="1163"/>
      <c r="D1820" s="1164"/>
      <c r="E1820" s="115">
        <f>94.74-2.42</f>
        <v>92.32</v>
      </c>
      <c r="F1820" s="10" t="s">
        <v>8</v>
      </c>
      <c r="G1820" s="450"/>
      <c r="H1820" s="297"/>
      <c r="I1820" s="451">
        <f>+E1820</f>
        <v>92.32</v>
      </c>
      <c r="J1820" s="10">
        <v>1.05</v>
      </c>
      <c r="K1820" s="115">
        <f>+I1820*J1820</f>
        <v>96.935999999999993</v>
      </c>
      <c r="L1820" s="6" t="s">
        <v>8</v>
      </c>
      <c r="M1820" s="1146"/>
      <c r="N1820" s="1103"/>
      <c r="O1820"/>
      <c r="P1820" s="148"/>
      <c r="Q1820" s="147"/>
      <c r="R1820" s="149"/>
    </row>
    <row r="1821" spans="1:24" ht="30" customHeight="1">
      <c r="A1821" s="24" t="s">
        <v>377</v>
      </c>
      <c r="B1821" s="1162" t="s">
        <v>1221</v>
      </c>
      <c r="C1821" s="1163"/>
      <c r="D1821" s="1164"/>
      <c r="E1821" s="142">
        <v>3.53</v>
      </c>
      <c r="F1821" s="10" t="s">
        <v>8</v>
      </c>
      <c r="G1821" s="452"/>
      <c r="H1821" s="439"/>
      <c r="I1821" s="453">
        <f>+E1821</f>
        <v>3.53</v>
      </c>
      <c r="J1821" s="10">
        <v>1.05</v>
      </c>
      <c r="K1821" s="115">
        <f t="shared" ref="K1821:K1830" si="41">+I1821*J1821</f>
        <v>3.7065000000000001</v>
      </c>
      <c r="L1821" s="6" t="s">
        <v>8</v>
      </c>
      <c r="M1821" s="1146"/>
      <c r="N1821" s="1103"/>
      <c r="O1821"/>
      <c r="P1821" s="148"/>
      <c r="Q1821" s="147"/>
      <c r="R1821" s="149"/>
    </row>
    <row r="1822" spans="1:24" ht="30" customHeight="1">
      <c r="A1822" s="24" t="s">
        <v>461</v>
      </c>
      <c r="B1822" s="1162" t="s">
        <v>2711</v>
      </c>
      <c r="C1822" s="1163"/>
      <c r="D1822" s="1164"/>
      <c r="E1822" s="115">
        <v>166000</v>
      </c>
      <c r="F1822" s="401" t="s">
        <v>10</v>
      </c>
      <c r="G1822" s="7">
        <f>+E1822/H1818</f>
        <v>9.7195386146729899</v>
      </c>
      <c r="H1822" s="439" t="s">
        <v>1011</v>
      </c>
      <c r="I1822" s="453">
        <f>+E1822/H1818</f>
        <v>9.7195386146729899</v>
      </c>
      <c r="J1822" s="10">
        <v>1.07</v>
      </c>
      <c r="K1822" s="115">
        <f t="shared" si="41"/>
        <v>10.399906317700101</v>
      </c>
      <c r="L1822" s="6" t="s">
        <v>8</v>
      </c>
      <c r="M1822" s="1146"/>
      <c r="N1822" s="1103"/>
      <c r="O1822"/>
      <c r="P1822" s="148"/>
      <c r="Q1822" s="147"/>
      <c r="R1822" s="149"/>
      <c r="T1822" s="38"/>
      <c r="U1822" s="38"/>
      <c r="V1822" s="38"/>
      <c r="W1822" s="38"/>
      <c r="X1822" s="38"/>
    </row>
    <row r="1823" spans="1:24" s="38" customFormat="1" ht="30" customHeight="1">
      <c r="A1823" s="24" t="s">
        <v>461</v>
      </c>
      <c r="B1823" s="1162" t="s">
        <v>1222</v>
      </c>
      <c r="C1823" s="1163"/>
      <c r="D1823" s="1164"/>
      <c r="E1823" s="115">
        <f>+(228+250)/2</f>
        <v>239</v>
      </c>
      <c r="F1823" s="401" t="s">
        <v>6</v>
      </c>
      <c r="G1823" s="7">
        <f>344/H1818</f>
        <v>2.014169447859945E-2</v>
      </c>
      <c r="H1823" s="439" t="s">
        <v>1011</v>
      </c>
      <c r="I1823" s="453">
        <f>+E1823*G1823</f>
        <v>4.8138649803852687</v>
      </c>
      <c r="J1823" s="10">
        <v>1.07</v>
      </c>
      <c r="K1823" s="115">
        <f t="shared" si="41"/>
        <v>5.1508355290122374</v>
      </c>
      <c r="L1823" s="6" t="s">
        <v>8</v>
      </c>
      <c r="M1823" s="1146"/>
      <c r="N1823" s="1103"/>
      <c r="P1823" s="159"/>
      <c r="Q1823" s="147"/>
      <c r="R1823" s="149"/>
      <c r="T1823"/>
      <c r="U1823"/>
      <c r="V1823"/>
      <c r="W1823"/>
      <c r="X1823"/>
    </row>
    <row r="1824" spans="1:24" ht="30" customHeight="1">
      <c r="A1824" s="24" t="s">
        <v>461</v>
      </c>
      <c r="B1824" s="1162" t="s">
        <v>1165</v>
      </c>
      <c r="C1824" s="1163"/>
      <c r="D1824" s="1164"/>
      <c r="E1824" s="115">
        <f>+(22.2+44.75)/2</f>
        <v>33.475000000000001</v>
      </c>
      <c r="F1824" s="401" t="s">
        <v>6</v>
      </c>
      <c r="G1824" s="7">
        <f>344/H1818</f>
        <v>2.014169447859945E-2</v>
      </c>
      <c r="H1824" s="439" t="s">
        <v>1011</v>
      </c>
      <c r="I1824" s="453">
        <f>+E1824*G1824</f>
        <v>0.67424322267111658</v>
      </c>
      <c r="J1824" s="10">
        <v>1.07</v>
      </c>
      <c r="K1824" s="115">
        <f t="shared" si="41"/>
        <v>0.72144024825809483</v>
      </c>
      <c r="L1824" s="6" t="s">
        <v>8</v>
      </c>
      <c r="M1824" s="1146"/>
      <c r="N1824" s="1103"/>
      <c r="O1824"/>
      <c r="P1824" s="159"/>
      <c r="Q1824" s="147"/>
      <c r="R1824" s="149"/>
    </row>
    <row r="1825" spans="1:24" ht="30" customHeight="1">
      <c r="A1825" s="24" t="s">
        <v>395</v>
      </c>
      <c r="B1825" s="1162" t="s">
        <v>1233</v>
      </c>
      <c r="C1825" s="1163"/>
      <c r="D1825" s="1164"/>
      <c r="E1825" s="115">
        <v>23.88</v>
      </c>
      <c r="F1825" s="401" t="s">
        <v>396</v>
      </c>
      <c r="G1825" s="239">
        <f>3*81*E1825/H1818</f>
        <v>0.33976462322150008</v>
      </c>
      <c r="H1825" s="439" t="s">
        <v>1011</v>
      </c>
      <c r="I1825" s="453">
        <f>+G1825</f>
        <v>0.33976462322150008</v>
      </c>
      <c r="J1825" s="10">
        <v>1.06</v>
      </c>
      <c r="K1825" s="115">
        <f t="shared" si="41"/>
        <v>0.36015050061479009</v>
      </c>
      <c r="L1825" s="6" t="s">
        <v>8</v>
      </c>
      <c r="M1825" s="1146"/>
      <c r="N1825" s="282"/>
      <c r="O1825" s="34"/>
      <c r="P1825" s="283"/>
      <c r="Q1825" s="282"/>
      <c r="R1825" s="284"/>
    </row>
    <row r="1826" spans="1:24" ht="30" customHeight="1">
      <c r="A1826" s="24" t="s">
        <v>395</v>
      </c>
      <c r="B1826" s="1162" t="s">
        <v>1223</v>
      </c>
      <c r="C1826" s="1163"/>
      <c r="D1826" s="1164"/>
      <c r="E1826" s="115">
        <v>1905</v>
      </c>
      <c r="F1826" s="401" t="s">
        <v>10</v>
      </c>
      <c r="G1826" s="239">
        <f>3*E1826/H1818</f>
        <v>0.33462146495696471</v>
      </c>
      <c r="H1826" s="439" t="s">
        <v>1011</v>
      </c>
      <c r="I1826" s="453">
        <f>+G1826</f>
        <v>0.33462146495696471</v>
      </c>
      <c r="J1826" s="10">
        <v>1.06</v>
      </c>
      <c r="K1826" s="115">
        <f t="shared" si="41"/>
        <v>0.35469875285438263</v>
      </c>
      <c r="L1826" s="6" t="s">
        <v>8</v>
      </c>
      <c r="M1826" s="1146"/>
      <c r="N1826" s="282"/>
      <c r="O1826" s="34"/>
      <c r="P1826" s="283"/>
      <c r="Q1826" s="282"/>
      <c r="R1826" s="284"/>
    </row>
    <row r="1827" spans="1:24" ht="30" customHeight="1">
      <c r="A1827" s="24" t="s">
        <v>398</v>
      </c>
      <c r="B1827" s="1162" t="s">
        <v>2709</v>
      </c>
      <c r="C1827" s="1163"/>
      <c r="D1827" s="1164"/>
      <c r="E1827" s="115">
        <f>+(31.5+75)/2</f>
        <v>53.25</v>
      </c>
      <c r="F1827" s="401" t="s">
        <v>6</v>
      </c>
      <c r="G1827" s="452">
        <v>30</v>
      </c>
      <c r="H1827" s="439" t="s">
        <v>1150</v>
      </c>
      <c r="I1827" s="453">
        <f>+E1827*G1827/H1818</f>
        <v>9.3535921306868081E-2</v>
      </c>
      <c r="J1827" s="10">
        <v>1.04</v>
      </c>
      <c r="K1827" s="115">
        <f t="shared" si="41"/>
        <v>9.7277358159142804E-2</v>
      </c>
      <c r="L1827" s="6" t="s">
        <v>8</v>
      </c>
      <c r="M1827" s="1146"/>
      <c r="N1827" s="1103"/>
      <c r="O1827"/>
      <c r="P1827" s="159"/>
      <c r="Q1827" s="147"/>
      <c r="R1827" s="149"/>
      <c r="T1827" s="44"/>
      <c r="U1827" s="34"/>
    </row>
    <row r="1828" spans="1:24" ht="30" customHeight="1">
      <c r="A1828" s="24" t="s">
        <v>398</v>
      </c>
      <c r="B1828" s="1162" t="s">
        <v>1225</v>
      </c>
      <c r="C1828" s="1163"/>
      <c r="D1828" s="1164"/>
      <c r="E1828" s="115">
        <f>+(5900+11300)/2</f>
        <v>8600</v>
      </c>
      <c r="F1828" s="401" t="s">
        <v>10</v>
      </c>
      <c r="G1828" s="452">
        <v>3</v>
      </c>
      <c r="H1828" s="439" t="s">
        <v>1011</v>
      </c>
      <c r="I1828" s="453">
        <f>+E1828*3/H1818</f>
        <v>1.5106270858949586</v>
      </c>
      <c r="J1828" s="10">
        <v>1.04</v>
      </c>
      <c r="K1828" s="115">
        <f t="shared" si="41"/>
        <v>1.5710521693307571</v>
      </c>
      <c r="L1828" s="6" t="s">
        <v>8</v>
      </c>
      <c r="M1828" s="1146"/>
      <c r="P1828" s="34"/>
      <c r="Q1828" s="34"/>
      <c r="R1828" s="34"/>
      <c r="S1828" s="44"/>
      <c r="T1828" s="44"/>
      <c r="U1828" s="34"/>
    </row>
    <row r="1829" spans="1:24" ht="30" customHeight="1">
      <c r="A1829" s="24" t="s">
        <v>398</v>
      </c>
      <c r="B1829" s="1162" t="s">
        <v>2710</v>
      </c>
      <c r="C1829" s="1163"/>
      <c r="D1829" s="1164"/>
      <c r="E1829" s="142">
        <f>+(605+925)/2</f>
        <v>765</v>
      </c>
      <c r="F1829" s="401" t="s">
        <v>10</v>
      </c>
      <c r="G1829" s="452">
        <v>3</v>
      </c>
      <c r="H1829" s="439" t="s">
        <v>1011</v>
      </c>
      <c r="I1829" s="453">
        <f>+E1829*3/H1818</f>
        <v>0.13437554891972597</v>
      </c>
      <c r="J1829" s="10">
        <v>1.04</v>
      </c>
      <c r="K1829" s="115">
        <f t="shared" si="41"/>
        <v>0.13975057087651502</v>
      </c>
      <c r="L1829" s="6" t="s">
        <v>8</v>
      </c>
      <c r="M1829" s="1146"/>
      <c r="P1829" s="34"/>
      <c r="Q1829" s="34"/>
      <c r="R1829" s="34"/>
      <c r="S1829" s="44"/>
      <c r="T1829" s="32"/>
      <c r="U1829" s="32"/>
      <c r="V1829" s="32"/>
      <c r="W1829" s="32"/>
      <c r="X1829" s="32"/>
    </row>
    <row r="1830" spans="1:24" s="32" customFormat="1" ht="30" customHeight="1">
      <c r="A1830" s="24" t="s">
        <v>398</v>
      </c>
      <c r="B1830" s="1162" t="s">
        <v>1226</v>
      </c>
      <c r="C1830" s="1163"/>
      <c r="D1830" s="1164"/>
      <c r="E1830" s="115">
        <f>+(1060+3175)/2</f>
        <v>2117.5</v>
      </c>
      <c r="F1830" s="401" t="s">
        <v>10</v>
      </c>
      <c r="G1830" s="452">
        <v>3</v>
      </c>
      <c r="H1830" s="439" t="s">
        <v>1011</v>
      </c>
      <c r="I1830" s="453">
        <f>+E1830*3/H1818</f>
        <v>0.37194800632355524</v>
      </c>
      <c r="J1830" s="10">
        <v>1.04</v>
      </c>
      <c r="K1830" s="115">
        <f t="shared" si="41"/>
        <v>0.38682592657649745</v>
      </c>
      <c r="L1830" s="6" t="s">
        <v>8</v>
      </c>
      <c r="M1830" s="1146"/>
      <c r="N1830" s="125"/>
      <c r="O1830" s="33"/>
      <c r="T1830" s="38"/>
      <c r="U1830" s="38"/>
      <c r="V1830" s="38"/>
      <c r="W1830" s="38"/>
      <c r="X1830" s="38"/>
    </row>
    <row r="1831" spans="1:24" s="38" customFormat="1" ht="30" customHeight="1">
      <c r="A1831" s="24"/>
      <c r="B1831" s="1375"/>
      <c r="C1831" s="1375"/>
      <c r="D1831" s="1375"/>
      <c r="E1831" s="115"/>
      <c r="F1831" s="10"/>
      <c r="G1831" s="402"/>
      <c r="H1831" s="403"/>
      <c r="I1831" s="403"/>
      <c r="J1831" s="10" t="s">
        <v>379</v>
      </c>
      <c r="K1831" s="115">
        <f>SUM(K1820:K1830)</f>
        <v>119.82443737338252</v>
      </c>
      <c r="L1831" s="6" t="s">
        <v>8</v>
      </c>
      <c r="M1831" s="1146"/>
      <c r="N1831" s="193"/>
      <c r="O1831" s="1119"/>
      <c r="T1831"/>
      <c r="U1831"/>
      <c r="V1831"/>
      <c r="W1831"/>
      <c r="X1831"/>
    </row>
    <row r="1832" spans="1:24" ht="30" customHeight="1">
      <c r="A1832" s="45"/>
      <c r="B1832" s="1212" t="s">
        <v>2636</v>
      </c>
      <c r="C1832" s="1213"/>
      <c r="D1832" s="1214"/>
      <c r="E1832" s="157"/>
      <c r="F1832" s="1174" t="s">
        <v>308</v>
      </c>
      <c r="G1832" s="1568" t="s">
        <v>309</v>
      </c>
      <c r="H1832" s="1569"/>
      <c r="I1832" s="1569"/>
      <c r="J1832" s="1570"/>
      <c r="K1832" s="123">
        <v>1.08</v>
      </c>
      <c r="L1832" s="10"/>
      <c r="M1832" s="1146"/>
      <c r="N1832" s="85"/>
      <c r="T1832" s="44"/>
      <c r="U1832" s="34"/>
    </row>
    <row r="1833" spans="1:24" ht="30" customHeight="1">
      <c r="A1833" s="45"/>
      <c r="B1833" s="157"/>
      <c r="C1833" s="157"/>
      <c r="D1833" s="157"/>
      <c r="E1833" s="157"/>
      <c r="F1833" s="1175"/>
      <c r="G1833" s="1209" t="s">
        <v>310</v>
      </c>
      <c r="H1833" s="1209"/>
      <c r="I1833" s="1209"/>
      <c r="J1833" s="1209"/>
      <c r="K1833" s="123">
        <v>1.07</v>
      </c>
      <c r="L1833" s="10"/>
      <c r="M1833" s="1146"/>
      <c r="N1833" s="1103"/>
      <c r="P1833" s="34"/>
      <c r="Q1833" s="34"/>
      <c r="R1833" s="34"/>
      <c r="S1833" s="44"/>
      <c r="T1833" s="44"/>
      <c r="U1833" s="34"/>
    </row>
    <row r="1834" spans="1:24" ht="30" customHeight="1">
      <c r="A1834" s="545"/>
      <c r="B1834" s="1571"/>
      <c r="C1834" s="1572"/>
      <c r="D1834" s="1572"/>
      <c r="E1834" s="1572"/>
      <c r="F1834" s="1572"/>
      <c r="G1834" s="1572"/>
      <c r="H1834" s="1573"/>
      <c r="I1834" s="13"/>
      <c r="J1834" s="10" t="s">
        <v>289</v>
      </c>
      <c r="K1834" s="14">
        <f>+K1831*K1832/K1833</f>
        <v>120.94429192827394</v>
      </c>
      <c r="L1834" s="6" t="s">
        <v>8</v>
      </c>
      <c r="M1834" s="1146"/>
      <c r="P1834" s="34"/>
      <c r="Q1834" s="34"/>
      <c r="R1834" s="34"/>
      <c r="S1834" s="44"/>
      <c r="T1834" s="32"/>
      <c r="U1834" s="32"/>
      <c r="V1834" s="32"/>
      <c r="W1834" s="32"/>
      <c r="X1834" s="32"/>
    </row>
    <row r="1835" spans="1:24" s="32" customFormat="1" ht="30" customHeight="1" thickBot="1">
      <c r="A1835" s="545"/>
      <c r="B1835" s="546"/>
      <c r="C1835" s="547"/>
      <c r="D1835" s="547"/>
      <c r="E1835" s="547"/>
      <c r="F1835" s="547"/>
      <c r="G1835" s="549"/>
      <c r="H1835" s="59"/>
      <c r="I1835" s="548" t="s">
        <v>385</v>
      </c>
      <c r="J1835" s="178">
        <f>VLOOKUP(B1818,'Mil Cost Premiums for RUCs'!$A$4:$R$266,18,FALSE)</f>
        <v>1.3319480854780448</v>
      </c>
      <c r="K1835" s="17">
        <f>+K1834*J1835</f>
        <v>161.09151808336222</v>
      </c>
      <c r="L1835" s="1075" t="s">
        <v>8</v>
      </c>
      <c r="M1835" s="1146"/>
      <c r="N1835" s="125"/>
      <c r="O1835" s="33"/>
      <c r="T1835" s="38"/>
      <c r="U1835" s="38"/>
      <c r="V1835" s="38"/>
      <c r="W1835" s="38"/>
      <c r="X1835" s="38"/>
    </row>
    <row r="1836" spans="1:24" s="38" customFormat="1" ht="30" customHeight="1" thickBot="1">
      <c r="A1836" s="1165"/>
      <c r="B1836" s="1166"/>
      <c r="C1836" s="1166"/>
      <c r="D1836" s="1166"/>
      <c r="E1836" s="1166"/>
      <c r="F1836" s="1166"/>
      <c r="G1836" s="1166"/>
      <c r="H1836" s="1166"/>
      <c r="I1836" s="1166"/>
      <c r="J1836" s="1166"/>
      <c r="K1836" s="1166"/>
      <c r="L1836" s="1167"/>
      <c r="M1836" s="1146"/>
      <c r="N1836" s="193"/>
      <c r="O1836" s="1119"/>
      <c r="T1836"/>
      <c r="U1836"/>
      <c r="V1836"/>
      <c r="W1836"/>
      <c r="X1836"/>
    </row>
    <row r="1837" spans="1:24" ht="30" customHeight="1">
      <c r="A1837" s="108" t="s">
        <v>280</v>
      </c>
      <c r="B1837" s="109">
        <v>3151</v>
      </c>
      <c r="C1837" s="1574" t="s">
        <v>1234</v>
      </c>
      <c r="D1837" s="1575"/>
      <c r="E1837" s="110" t="s">
        <v>282</v>
      </c>
      <c r="F1837" s="111" t="s">
        <v>8</v>
      </c>
      <c r="G1837" s="58" t="s">
        <v>290</v>
      </c>
      <c r="H1837" s="550">
        <v>9677</v>
      </c>
      <c r="I1837" s="110" t="s">
        <v>283</v>
      </c>
      <c r="J1837" s="1199" t="s">
        <v>2529</v>
      </c>
      <c r="K1837" s="1199"/>
      <c r="L1837" s="1200"/>
      <c r="M1837" s="1146"/>
      <c r="N1837" s="85"/>
      <c r="T1837" s="44"/>
      <c r="U1837" s="34"/>
    </row>
    <row r="1838" spans="1:24" ht="30" customHeight="1">
      <c r="A1838" s="294" t="s">
        <v>304</v>
      </c>
      <c r="B1838" s="1436" t="s">
        <v>330</v>
      </c>
      <c r="C1838" s="1437"/>
      <c r="D1838" s="1438"/>
      <c r="E1838" s="532" t="s">
        <v>295</v>
      </c>
      <c r="F1838" s="532" t="s">
        <v>331</v>
      </c>
      <c r="G1838" s="1327" t="s">
        <v>332</v>
      </c>
      <c r="H1838" s="1328"/>
      <c r="I1838" s="449" t="s">
        <v>1235</v>
      </c>
      <c r="J1838" s="167" t="s">
        <v>305</v>
      </c>
      <c r="K1838" s="1206" t="s">
        <v>297</v>
      </c>
      <c r="L1838" s="1207"/>
      <c r="M1838" s="1146"/>
      <c r="N1838" s="1103"/>
      <c r="P1838" s="34"/>
      <c r="Q1838" s="34"/>
      <c r="R1838" s="34"/>
      <c r="S1838" s="44"/>
      <c r="T1838" s="44"/>
      <c r="U1838" s="34"/>
    </row>
    <row r="1839" spans="1:24" ht="30" customHeight="1">
      <c r="A1839" s="24" t="s">
        <v>382</v>
      </c>
      <c r="B1839" s="1162" t="s">
        <v>2894</v>
      </c>
      <c r="C1839" s="1163"/>
      <c r="D1839" s="1164"/>
      <c r="E1839" s="115">
        <f>222.42</f>
        <v>222.42</v>
      </c>
      <c r="F1839" s="24" t="s">
        <v>8</v>
      </c>
      <c r="G1839" s="551"/>
      <c r="H1839" s="489"/>
      <c r="I1839" s="489"/>
      <c r="J1839" s="10">
        <v>1.05</v>
      </c>
      <c r="K1839" s="115">
        <f>+E1839*J1839</f>
        <v>233.541</v>
      </c>
      <c r="L1839" s="10" t="s">
        <v>8</v>
      </c>
      <c r="M1839" s="1146"/>
      <c r="P1839" s="34"/>
      <c r="Q1839" s="34"/>
      <c r="R1839" s="34"/>
      <c r="S1839" s="44"/>
      <c r="T1839" s="32"/>
      <c r="U1839" s="32"/>
      <c r="V1839" s="32"/>
      <c r="W1839" s="32"/>
      <c r="X1839" s="32"/>
    </row>
    <row r="1840" spans="1:24" s="32" customFormat="1" ht="30" customHeight="1">
      <c r="A1840" s="24" t="s">
        <v>461</v>
      </c>
      <c r="B1840" s="1162" t="s">
        <v>2713</v>
      </c>
      <c r="C1840" s="1163"/>
      <c r="D1840" s="1164"/>
      <c r="E1840" s="115">
        <v>132000</v>
      </c>
      <c r="F1840" s="24" t="s">
        <v>10</v>
      </c>
      <c r="G1840" s="552">
        <f>+H1837</f>
        <v>9677</v>
      </c>
      <c r="H1840" s="403" t="s">
        <v>1102</v>
      </c>
      <c r="I1840" s="403"/>
      <c r="J1840" s="10">
        <v>1.07</v>
      </c>
      <c r="K1840" s="115">
        <f>+E1840/G1840*J1840</f>
        <v>14.595432468740313</v>
      </c>
      <c r="L1840" s="10" t="s">
        <v>8</v>
      </c>
      <c r="M1840" s="1146"/>
      <c r="N1840" s="125"/>
      <c r="O1840" s="33"/>
      <c r="T1840" s="38"/>
      <c r="U1840" s="38"/>
      <c r="V1840" s="38"/>
      <c r="W1840" s="38"/>
      <c r="X1840" s="38"/>
    </row>
    <row r="1841" spans="1:24" s="38" customFormat="1" ht="30" customHeight="1">
      <c r="A1841" s="24" t="s">
        <v>461</v>
      </c>
      <c r="B1841" s="1162" t="s">
        <v>2712</v>
      </c>
      <c r="C1841" s="1163"/>
      <c r="D1841" s="1164"/>
      <c r="E1841" s="115">
        <f>+(228+250)/2</f>
        <v>239</v>
      </c>
      <c r="F1841" s="541" t="s">
        <v>6</v>
      </c>
      <c r="G1841" s="170">
        <f>244/H1837</f>
        <v>2.52144259584582E-2</v>
      </c>
      <c r="H1841" s="403" t="s">
        <v>1236</v>
      </c>
      <c r="I1841" s="403"/>
      <c r="J1841" s="10">
        <v>1.07</v>
      </c>
      <c r="K1841" s="115">
        <f>+E1841*G1841*J1841</f>
        <v>6.4480851503565155</v>
      </c>
      <c r="L1841" s="10" t="s">
        <v>8</v>
      </c>
      <c r="M1841" s="1146"/>
      <c r="N1841" s="193"/>
      <c r="O1841" s="1119"/>
      <c r="T1841"/>
      <c r="U1841"/>
      <c r="V1841"/>
      <c r="W1841"/>
      <c r="X1841"/>
    </row>
    <row r="1842" spans="1:24" ht="30" customHeight="1">
      <c r="A1842" s="24" t="s">
        <v>461</v>
      </c>
      <c r="B1842" s="1162" t="s">
        <v>463</v>
      </c>
      <c r="C1842" s="1163"/>
      <c r="D1842" s="1164"/>
      <c r="E1842" s="115">
        <f>+(22.2+44.75)/2</f>
        <v>33.475000000000001</v>
      </c>
      <c r="F1842" s="541" t="s">
        <v>6</v>
      </c>
      <c r="G1842" s="170">
        <f>244/H1837</f>
        <v>2.52144259584582E-2</v>
      </c>
      <c r="H1842" s="403" t="s">
        <v>1236</v>
      </c>
      <c r="I1842" s="403"/>
      <c r="J1842" s="10">
        <v>1.07</v>
      </c>
      <c r="K1842" s="115">
        <f>+E1842*G1842*J1842</f>
        <v>0.90313661258654554</v>
      </c>
      <c r="L1842" s="10" t="s">
        <v>8</v>
      </c>
      <c r="M1842" s="1146"/>
      <c r="N1842" s="85"/>
      <c r="T1842" s="44"/>
      <c r="U1842" s="34"/>
    </row>
    <row r="1843" spans="1:24" ht="30" customHeight="1">
      <c r="A1843" s="24" t="s">
        <v>395</v>
      </c>
      <c r="B1843" s="1439" t="s">
        <v>1237</v>
      </c>
      <c r="C1843" s="1440"/>
      <c r="D1843" s="1441"/>
      <c r="E1843" s="416">
        <v>23.88</v>
      </c>
      <c r="F1843" s="541" t="s">
        <v>1238</v>
      </c>
      <c r="G1843" s="402">
        <v>81</v>
      </c>
      <c r="H1843" s="403" t="s">
        <v>1239</v>
      </c>
      <c r="I1843" s="553">
        <f t="shared" ref="I1843:I1848" si="42">+E1843*G1843/$H$1837</f>
        <v>0.19988426165133821</v>
      </c>
      <c r="J1843" s="10">
        <v>1.06</v>
      </c>
      <c r="K1843" s="115">
        <f t="shared" ref="K1843:K1848" si="43">+I1843*J1843</f>
        <v>0.21187731735041851</v>
      </c>
      <c r="L1843" s="10" t="s">
        <v>8</v>
      </c>
      <c r="M1843" s="1146"/>
      <c r="N1843" s="1103"/>
      <c r="P1843" s="34"/>
      <c r="Q1843" s="34"/>
      <c r="R1843" s="34"/>
      <c r="S1843" s="44"/>
      <c r="T1843" s="44"/>
      <c r="U1843" s="34"/>
    </row>
    <row r="1844" spans="1:24" ht="30" customHeight="1">
      <c r="A1844" s="24" t="s">
        <v>395</v>
      </c>
      <c r="B1844" s="1439" t="s">
        <v>1223</v>
      </c>
      <c r="C1844" s="1440"/>
      <c r="D1844" s="1441"/>
      <c r="E1844" s="416">
        <v>1905</v>
      </c>
      <c r="F1844" s="541" t="s">
        <v>10</v>
      </c>
      <c r="G1844" s="402">
        <v>1</v>
      </c>
      <c r="H1844" s="403"/>
      <c r="I1844" s="553">
        <f t="shared" si="42"/>
        <v>0.19685853053632324</v>
      </c>
      <c r="J1844" s="10">
        <v>1.06</v>
      </c>
      <c r="K1844" s="115">
        <f t="shared" si="43"/>
        <v>0.20867004236850265</v>
      </c>
      <c r="L1844" s="10" t="s">
        <v>8</v>
      </c>
      <c r="M1844" s="1146"/>
      <c r="P1844" s="34"/>
      <c r="Q1844" s="34"/>
      <c r="R1844" s="34"/>
      <c r="S1844" s="44"/>
      <c r="U1844" s="34"/>
    </row>
    <row r="1845" spans="1:24" ht="30" customHeight="1">
      <c r="A1845" s="24" t="s">
        <v>398</v>
      </c>
      <c r="B1845" s="1439" t="s">
        <v>1240</v>
      </c>
      <c r="C1845" s="1440"/>
      <c r="D1845" s="1441"/>
      <c r="E1845" s="416">
        <v>53.25</v>
      </c>
      <c r="F1845" s="541" t="s">
        <v>6</v>
      </c>
      <c r="G1845" s="402">
        <v>10</v>
      </c>
      <c r="H1845" s="403"/>
      <c r="I1845" s="553">
        <f t="shared" si="42"/>
        <v>5.5027384519995864E-2</v>
      </c>
      <c r="J1845" s="10">
        <v>1.04</v>
      </c>
      <c r="K1845" s="115">
        <f t="shared" si="43"/>
        <v>5.7228479900795701E-2</v>
      </c>
      <c r="L1845" s="10" t="s">
        <v>8</v>
      </c>
      <c r="M1845" s="1146"/>
      <c r="T1845" s="84"/>
      <c r="U1845" s="38"/>
      <c r="V1845" s="38"/>
      <c r="W1845" s="38"/>
      <c r="X1845" s="38"/>
    </row>
    <row r="1846" spans="1:24" s="38" customFormat="1" ht="30" customHeight="1">
      <c r="A1846" s="24" t="s">
        <v>398</v>
      </c>
      <c r="B1846" s="1439" t="s">
        <v>1241</v>
      </c>
      <c r="C1846" s="1440"/>
      <c r="D1846" s="1441"/>
      <c r="E1846" s="416">
        <v>8600</v>
      </c>
      <c r="F1846" s="541" t="s">
        <v>10</v>
      </c>
      <c r="G1846" s="402">
        <v>1</v>
      </c>
      <c r="H1846" s="403"/>
      <c r="I1846" s="553">
        <f t="shared" si="42"/>
        <v>0.88870517722434639</v>
      </c>
      <c r="J1846" s="10">
        <v>1.04</v>
      </c>
      <c r="K1846" s="115">
        <f t="shared" si="43"/>
        <v>0.92425338431332027</v>
      </c>
      <c r="L1846" s="10" t="s">
        <v>8</v>
      </c>
      <c r="M1846" s="1146"/>
      <c r="N1846" s="193"/>
      <c r="O1846" s="1119"/>
      <c r="P1846" s="39"/>
      <c r="Q1846" s="39"/>
      <c r="R1846" s="39"/>
      <c r="S1846" s="84"/>
      <c r="T1846" s="44"/>
      <c r="U1846"/>
      <c r="V1846"/>
      <c r="W1846"/>
      <c r="X1846"/>
    </row>
    <row r="1847" spans="1:24" ht="30" customHeight="1">
      <c r="A1847" s="24" t="s">
        <v>398</v>
      </c>
      <c r="B1847" s="1439" t="s">
        <v>1018</v>
      </c>
      <c r="C1847" s="1440"/>
      <c r="D1847" s="1441"/>
      <c r="E1847" s="416">
        <v>765</v>
      </c>
      <c r="F1847" s="541" t="s">
        <v>10</v>
      </c>
      <c r="G1847" s="402">
        <v>1</v>
      </c>
      <c r="H1847" s="403"/>
      <c r="I1847" s="553">
        <f t="shared" si="42"/>
        <v>7.9053425648444767E-2</v>
      </c>
      <c r="J1847" s="10">
        <v>1.04</v>
      </c>
      <c r="K1847" s="115">
        <f t="shared" si="43"/>
        <v>8.2215562674382556E-2</v>
      </c>
      <c r="L1847" s="10" t="s">
        <v>8</v>
      </c>
      <c r="M1847" s="1146"/>
      <c r="P1847" s="34"/>
      <c r="Q1847" s="34"/>
      <c r="R1847" s="34"/>
      <c r="S1847" s="44"/>
      <c r="T1847" s="32"/>
      <c r="U1847" s="34"/>
    </row>
    <row r="1848" spans="1:24" ht="30" customHeight="1">
      <c r="A1848" s="24" t="s">
        <v>398</v>
      </c>
      <c r="B1848" s="1439" t="s">
        <v>403</v>
      </c>
      <c r="C1848" s="1440"/>
      <c r="D1848" s="1441"/>
      <c r="E1848" s="416">
        <v>2117</v>
      </c>
      <c r="F1848" s="541" t="s">
        <v>10</v>
      </c>
      <c r="G1848" s="402">
        <v>1</v>
      </c>
      <c r="H1848" s="403"/>
      <c r="I1848" s="553">
        <f t="shared" si="42"/>
        <v>0.21876614653301643</v>
      </c>
      <c r="J1848" s="10">
        <v>1.04</v>
      </c>
      <c r="K1848" s="115">
        <f t="shared" si="43"/>
        <v>0.22751679239433709</v>
      </c>
      <c r="L1848" s="10" t="s">
        <v>8</v>
      </c>
      <c r="M1848" s="1146"/>
      <c r="N1848" s="125"/>
      <c r="O1848" s="33"/>
      <c r="P1848" s="32"/>
      <c r="Q1848" s="32"/>
      <c r="R1848" s="32"/>
      <c r="S1848" s="32"/>
      <c r="U1848" s="34"/>
    </row>
    <row r="1849" spans="1:24" ht="30" customHeight="1">
      <c r="A1849" s="24" t="s">
        <v>377</v>
      </c>
      <c r="B1849" s="1185" t="s">
        <v>1187</v>
      </c>
      <c r="C1849" s="1186"/>
      <c r="D1849" s="1186"/>
      <c r="E1849" s="416">
        <v>4.01</v>
      </c>
      <c r="F1849" s="541" t="s">
        <v>8</v>
      </c>
      <c r="G1849" s="402"/>
      <c r="H1849" s="403"/>
      <c r="I1849" s="403"/>
      <c r="J1849" s="10">
        <v>1.05</v>
      </c>
      <c r="K1849" s="115">
        <f>+E1849*J1849</f>
        <v>4.2104999999999997</v>
      </c>
      <c r="L1849" s="10" t="s">
        <v>8</v>
      </c>
      <c r="M1849" s="1146"/>
      <c r="U1849" s="32"/>
      <c r="V1849" s="32"/>
      <c r="W1849" s="32"/>
      <c r="X1849" s="32"/>
    </row>
    <row r="1850" spans="1:24" s="32" customFormat="1" ht="30" customHeight="1">
      <c r="A1850" s="24" t="s">
        <v>377</v>
      </c>
      <c r="B1850" s="1162" t="s">
        <v>1242</v>
      </c>
      <c r="C1850" s="1163"/>
      <c r="D1850" s="1164"/>
      <c r="E1850" s="115">
        <f>4.01*0.15</f>
        <v>0.60149999999999992</v>
      </c>
      <c r="F1850" s="541" t="s">
        <v>8</v>
      </c>
      <c r="G1850" s="402"/>
      <c r="H1850" s="403"/>
      <c r="I1850" s="403"/>
      <c r="J1850" s="10">
        <v>1.05</v>
      </c>
      <c r="K1850" s="115">
        <f>+E1850*J1850</f>
        <v>0.631575</v>
      </c>
      <c r="L1850" s="10" t="s">
        <v>8</v>
      </c>
      <c r="M1850" s="1146"/>
      <c r="N1850" s="25"/>
      <c r="O1850" s="1119"/>
      <c r="P1850"/>
      <c r="Q1850"/>
      <c r="R1850"/>
      <c r="S1850"/>
      <c r="T1850" s="84"/>
      <c r="U1850" s="38"/>
      <c r="V1850" s="38"/>
      <c r="W1850" s="38"/>
      <c r="X1850" s="38"/>
    </row>
    <row r="1851" spans="1:24" s="38" customFormat="1" ht="30" customHeight="1">
      <c r="A1851" s="24" t="s">
        <v>377</v>
      </c>
      <c r="B1851" s="1162" t="s">
        <v>987</v>
      </c>
      <c r="C1851" s="1163"/>
      <c r="D1851" s="1164"/>
      <c r="E1851" s="14">
        <f xml:space="preserve"> 0.53+((1.06+1.57)/2)</f>
        <v>1.845</v>
      </c>
      <c r="F1851" s="541" t="s">
        <v>8</v>
      </c>
      <c r="G1851" s="402"/>
      <c r="H1851" s="403"/>
      <c r="I1851" s="403"/>
      <c r="J1851" s="10">
        <v>1.05</v>
      </c>
      <c r="K1851" s="115">
        <f>+E1851*J1851</f>
        <v>1.9372500000000001</v>
      </c>
      <c r="L1851" s="10" t="s">
        <v>8</v>
      </c>
      <c r="M1851" s="1146"/>
      <c r="N1851" s="193"/>
      <c r="O1851" s="1119"/>
      <c r="P1851" s="39"/>
      <c r="Q1851" s="39"/>
      <c r="R1851" s="39"/>
      <c r="S1851" s="84"/>
      <c r="T1851" s="44"/>
      <c r="U1851"/>
      <c r="V1851"/>
      <c r="W1851"/>
      <c r="X1851"/>
    </row>
    <row r="1852" spans="1:24" ht="30" customHeight="1">
      <c r="A1852" s="24"/>
      <c r="B1852" s="1340"/>
      <c r="C1852" s="1340"/>
      <c r="D1852" s="1340"/>
      <c r="E1852" s="416"/>
      <c r="F1852" s="24"/>
      <c r="G1852" s="402"/>
      <c r="H1852" s="403"/>
      <c r="I1852" s="403"/>
      <c r="J1852" s="10" t="s">
        <v>346</v>
      </c>
      <c r="K1852" s="115">
        <f>SUM(K1839:K1851)</f>
        <v>263.97874081068517</v>
      </c>
      <c r="L1852" s="10" t="s">
        <v>8</v>
      </c>
      <c r="M1852" s="1146"/>
      <c r="P1852" s="34"/>
      <c r="Q1852" s="34"/>
      <c r="R1852" s="34"/>
      <c r="S1852" s="44"/>
    </row>
    <row r="1853" spans="1:24" ht="30" customHeight="1">
      <c r="A1853" s="45"/>
      <c r="B1853" s="189"/>
      <c r="C1853" s="189"/>
      <c r="D1853" s="189"/>
      <c r="E1853" s="189"/>
      <c r="F1853" s="1367" t="s">
        <v>308</v>
      </c>
      <c r="G1853" s="1208" t="s">
        <v>309</v>
      </c>
      <c r="H1853" s="1208"/>
      <c r="I1853" s="1208"/>
      <c r="J1853" s="1208"/>
      <c r="K1853" s="123">
        <f>+(1.06+1.08)/2</f>
        <v>1.07</v>
      </c>
      <c r="L1853" s="10"/>
      <c r="M1853" s="1146"/>
      <c r="N1853" s="1103"/>
      <c r="O1853"/>
      <c r="P1853" s="148"/>
      <c r="Q1853" s="147"/>
      <c r="R1853" s="149"/>
    </row>
    <row r="1854" spans="1:24" ht="30" customHeight="1">
      <c r="A1854" s="45"/>
      <c r="B1854" s="189"/>
      <c r="C1854" s="189"/>
      <c r="D1854" s="189"/>
      <c r="E1854" s="189"/>
      <c r="F1854" s="1368"/>
      <c r="G1854" s="1209" t="s">
        <v>310</v>
      </c>
      <c r="H1854" s="1209"/>
      <c r="I1854" s="1209"/>
      <c r="J1854" s="1209"/>
      <c r="K1854" s="123">
        <v>1.07</v>
      </c>
      <c r="L1854" s="10"/>
      <c r="M1854" s="1146"/>
      <c r="N1854" s="1103"/>
      <c r="O1854"/>
      <c r="P1854" s="148"/>
      <c r="Q1854" s="147"/>
      <c r="R1854" s="149"/>
    </row>
    <row r="1855" spans="1:24" ht="30" customHeight="1">
      <c r="A1855" s="24"/>
      <c r="B1855" s="24"/>
      <c r="C1855" s="47"/>
      <c r="D1855" s="47"/>
      <c r="E1855" s="47"/>
      <c r="F1855" s="47"/>
      <c r="G1855" s="47"/>
      <c r="H1855" s="47"/>
      <c r="I1855" s="47"/>
      <c r="J1855" s="24" t="s">
        <v>289</v>
      </c>
      <c r="K1855" s="17">
        <f>+K1852*K1853/K1854</f>
        <v>263.97874081068517</v>
      </c>
      <c r="L1855" s="24" t="s">
        <v>8</v>
      </c>
      <c r="M1855" s="1146"/>
      <c r="N1855" s="1103"/>
      <c r="O1855"/>
      <c r="P1855" s="148"/>
      <c r="Q1855" s="147"/>
      <c r="R1855" s="149"/>
      <c r="T1855" s="38"/>
      <c r="U1855" s="38"/>
      <c r="V1855" s="38"/>
      <c r="W1855" s="38"/>
      <c r="X1855" s="38"/>
    </row>
    <row r="1856" spans="1:24" s="38" customFormat="1" ht="30" customHeight="1">
      <c r="A1856" s="24"/>
      <c r="B1856" s="24"/>
      <c r="C1856" s="47"/>
      <c r="D1856" s="47"/>
      <c r="E1856" s="47"/>
      <c r="F1856" s="47"/>
      <c r="G1856" s="59"/>
      <c r="H1856" s="47"/>
      <c r="I1856" s="554" t="s">
        <v>385</v>
      </c>
      <c r="J1856" s="178">
        <f>VLOOKUP(B1837,'Mil Cost Premiums for RUCs'!$A$4:$R$266,18,FALSE)</f>
        <v>1.3319480854780448</v>
      </c>
      <c r="K1856" s="17">
        <f>+K1855*J1856</f>
        <v>351.60597842969713</v>
      </c>
      <c r="L1856" s="24" t="s">
        <v>8</v>
      </c>
      <c r="M1856" s="1146"/>
      <c r="N1856" s="1103"/>
      <c r="P1856" s="148"/>
      <c r="Q1856" s="147"/>
      <c r="R1856" s="149"/>
      <c r="T1856"/>
      <c r="U1856"/>
      <c r="V1856"/>
      <c r="W1856"/>
      <c r="X1856"/>
    </row>
    <row r="1857" spans="1:18" ht="60" customHeight="1">
      <c r="A1857" s="1335" t="s">
        <v>313</v>
      </c>
      <c r="B1857" s="1335"/>
      <c r="C1857" s="1335"/>
      <c r="D1857" s="1335"/>
      <c r="E1857" s="1335"/>
      <c r="F1857" s="1335"/>
      <c r="G1857" s="1335"/>
      <c r="H1857" s="1335"/>
      <c r="I1857" s="1335"/>
      <c r="J1857" s="1335"/>
      <c r="K1857" s="1335"/>
      <c r="L1857" s="1335"/>
      <c r="M1857" s="1146"/>
      <c r="N1857" s="1103"/>
      <c r="O1857"/>
      <c r="P1857" s="159"/>
      <c r="Q1857" s="147"/>
      <c r="R1857" s="149"/>
    </row>
    <row r="1858" spans="1:18" ht="30" customHeight="1">
      <c r="A1858" s="1221" t="s">
        <v>314</v>
      </c>
      <c r="B1858" s="1221"/>
      <c r="C1858" s="1221"/>
      <c r="D1858" s="1332" t="s">
        <v>1243</v>
      </c>
      <c r="E1858" s="1332"/>
      <c r="F1858" s="1332"/>
      <c r="G1858" s="1332"/>
      <c r="H1858" s="1332"/>
      <c r="I1858" s="1332"/>
      <c r="J1858" s="1332"/>
      <c r="K1858" s="1332"/>
      <c r="L1858" s="1332"/>
      <c r="M1858" s="1146"/>
      <c r="N1858" s="1103"/>
      <c r="O1858"/>
      <c r="P1858" s="159"/>
      <c r="Q1858" s="147"/>
      <c r="R1858" s="149"/>
    </row>
    <row r="1859" spans="1:18" ht="45" customHeight="1">
      <c r="A1859" s="1221" t="s">
        <v>316</v>
      </c>
      <c r="B1859" s="1221"/>
      <c r="C1859" s="1221"/>
      <c r="D1859" s="1332" t="s">
        <v>1244</v>
      </c>
      <c r="E1859" s="1332"/>
      <c r="F1859" s="1332"/>
      <c r="G1859" s="1332"/>
      <c r="H1859" s="1332"/>
      <c r="I1859" s="1332"/>
      <c r="J1859" s="1332"/>
      <c r="K1859" s="1332"/>
      <c r="L1859" s="1332"/>
      <c r="M1859" s="1146"/>
      <c r="N1859" s="1103"/>
      <c r="O1859"/>
      <c r="P1859" s="159"/>
      <c r="Q1859" s="147"/>
      <c r="R1859" s="149"/>
    </row>
    <row r="1860" spans="1:18" ht="30" customHeight="1">
      <c r="A1860" s="1221" t="s">
        <v>317</v>
      </c>
      <c r="B1860" s="1221"/>
      <c r="C1860" s="1221"/>
      <c r="D1860" s="1332" t="s">
        <v>2637</v>
      </c>
      <c r="E1860" s="1332"/>
      <c r="F1860" s="1332"/>
      <c r="G1860" s="1332"/>
      <c r="H1860" s="1332"/>
      <c r="I1860" s="1332"/>
      <c r="J1860" s="1332"/>
      <c r="K1860" s="1332"/>
      <c r="L1860" s="1332"/>
      <c r="M1860" s="1146"/>
      <c r="N1860" s="1103"/>
      <c r="O1860"/>
      <c r="P1860" s="159"/>
      <c r="Q1860" s="147"/>
      <c r="R1860" s="149"/>
    </row>
    <row r="1861" spans="1:18" ht="45" customHeight="1">
      <c r="A1861" s="1221" t="s">
        <v>318</v>
      </c>
      <c r="B1861" s="1221"/>
      <c r="C1861" s="1221"/>
      <c r="D1861" s="1332" t="s">
        <v>1245</v>
      </c>
      <c r="E1861" s="1332"/>
      <c r="F1861" s="1332"/>
      <c r="G1861" s="1332"/>
      <c r="H1861" s="1332"/>
      <c r="I1861" s="1332"/>
      <c r="J1861" s="1332"/>
      <c r="K1861" s="1332"/>
      <c r="L1861" s="1332"/>
      <c r="M1861" s="1146"/>
      <c r="N1861" s="1103"/>
      <c r="O1861"/>
      <c r="P1861" s="159"/>
      <c r="Q1861" s="147"/>
      <c r="R1861" s="149"/>
    </row>
    <row r="1862" spans="1:18" ht="60" customHeight="1">
      <c r="A1862" s="1221" t="s">
        <v>320</v>
      </c>
      <c r="B1862" s="1221"/>
      <c r="C1862" s="1221"/>
      <c r="D1862" s="1332" t="s">
        <v>2895</v>
      </c>
      <c r="E1862" s="1332"/>
      <c r="F1862" s="1332"/>
      <c r="G1862" s="1332"/>
      <c r="H1862" s="1332"/>
      <c r="I1862" s="1332"/>
      <c r="J1862" s="1332"/>
      <c r="K1862" s="1332"/>
      <c r="L1862" s="1332"/>
      <c r="M1862" s="1146"/>
      <c r="N1862" s="282"/>
      <c r="O1862" s="34"/>
      <c r="P1862" s="283"/>
      <c r="Q1862" s="282"/>
      <c r="R1862" s="284"/>
    </row>
    <row r="1863" spans="1:18" ht="30" customHeight="1">
      <c r="A1863" s="1221" t="s">
        <v>322</v>
      </c>
      <c r="B1863" s="1221"/>
      <c r="C1863" s="1221"/>
      <c r="D1863" s="1332" t="s">
        <v>1246</v>
      </c>
      <c r="E1863" s="1332"/>
      <c r="F1863" s="1332"/>
      <c r="G1863" s="1332"/>
      <c r="H1863" s="1332"/>
      <c r="I1863" s="1332"/>
      <c r="J1863" s="1332"/>
      <c r="K1863" s="1332"/>
      <c r="L1863" s="1332"/>
      <c r="M1863" s="1146"/>
      <c r="N1863" s="282"/>
      <c r="O1863" s="34"/>
      <c r="P1863" s="283"/>
      <c r="Q1863" s="282"/>
      <c r="R1863" s="284"/>
    </row>
    <row r="1864" spans="1:18" ht="30" customHeight="1">
      <c r="A1864" s="1221" t="s">
        <v>324</v>
      </c>
      <c r="B1864" s="1221"/>
      <c r="C1864" s="1221"/>
      <c r="D1864" s="1332" t="s">
        <v>1196</v>
      </c>
      <c r="E1864" s="1332"/>
      <c r="F1864" s="1332"/>
      <c r="G1864" s="1332"/>
      <c r="H1864" s="1332"/>
      <c r="I1864" s="1332"/>
      <c r="J1864" s="1332"/>
      <c r="K1864" s="1332"/>
      <c r="L1864" s="1332"/>
      <c r="M1864" s="1146"/>
      <c r="N1864" s="1103"/>
      <c r="O1864"/>
      <c r="P1864" s="159"/>
      <c r="Q1864" s="147"/>
      <c r="R1864" s="149"/>
    </row>
    <row r="1865" spans="1:18" ht="75" customHeight="1">
      <c r="A1865" s="1221" t="s">
        <v>325</v>
      </c>
      <c r="B1865" s="1221"/>
      <c r="C1865" s="1221"/>
      <c r="D1865" s="1332" t="s">
        <v>391</v>
      </c>
      <c r="E1865" s="1332"/>
      <c r="F1865" s="1332"/>
      <c r="G1865" s="1332"/>
      <c r="H1865" s="1332"/>
      <c r="I1865" s="1332"/>
      <c r="J1865" s="1332"/>
      <c r="K1865" s="1332"/>
      <c r="L1865" s="1332"/>
      <c r="M1865" s="1146"/>
      <c r="N1865" s="1103"/>
      <c r="O1865"/>
      <c r="P1865" s="159"/>
      <c r="Q1865" s="147"/>
      <c r="R1865" s="149"/>
    </row>
    <row r="1866" spans="1:18" ht="75" customHeight="1" thickBot="1">
      <c r="A1866" s="1565" t="s">
        <v>327</v>
      </c>
      <c r="B1866" s="1565"/>
      <c r="C1866" s="1565"/>
      <c r="D1866" s="1566" t="s">
        <v>1247</v>
      </c>
      <c r="E1866" s="1566"/>
      <c r="F1866" s="1566"/>
      <c r="G1866" s="1566"/>
      <c r="H1866" s="1566"/>
      <c r="I1866" s="1566"/>
      <c r="J1866" s="1566"/>
      <c r="K1866" s="1566"/>
      <c r="L1866" s="1566"/>
      <c r="M1866" s="1146"/>
      <c r="N1866" s="1103"/>
      <c r="O1866"/>
      <c r="P1866" s="159"/>
      <c r="Q1866" s="147"/>
      <c r="R1866" s="149"/>
    </row>
    <row r="1867" spans="1:18" ht="30" customHeight="1" thickBot="1">
      <c r="A1867" s="1165"/>
      <c r="B1867" s="1166"/>
      <c r="C1867" s="1166"/>
      <c r="D1867" s="1166"/>
      <c r="E1867" s="1166"/>
      <c r="F1867" s="1166"/>
      <c r="G1867" s="1166"/>
      <c r="H1867" s="1166"/>
      <c r="I1867" s="1166"/>
      <c r="J1867" s="1166"/>
      <c r="K1867" s="1166"/>
      <c r="L1867" s="1167"/>
      <c r="M1867" s="1146"/>
      <c r="N1867" s="1103"/>
      <c r="O1867"/>
      <c r="P1867" s="159"/>
      <c r="Q1867" s="147"/>
      <c r="R1867" s="149"/>
    </row>
    <row r="1868" spans="1:18" ht="30" customHeight="1">
      <c r="A1868" s="555" t="s">
        <v>280</v>
      </c>
      <c r="B1868" s="318">
        <v>3161</v>
      </c>
      <c r="C1868" s="1576" t="s">
        <v>1248</v>
      </c>
      <c r="D1868" s="1577"/>
      <c r="E1868" s="556" t="s">
        <v>282</v>
      </c>
      <c r="F1868" s="557" t="s">
        <v>8</v>
      </c>
      <c r="G1868" s="58" t="s">
        <v>290</v>
      </c>
      <c r="H1868" s="558">
        <v>3589</v>
      </c>
      <c r="I1868" s="505" t="s">
        <v>283</v>
      </c>
      <c r="J1868" s="1199" t="s">
        <v>2529</v>
      </c>
      <c r="K1868" s="1199"/>
      <c r="L1868" s="1200"/>
      <c r="M1868" s="1146"/>
      <c r="N1868" s="1103"/>
      <c r="O1868"/>
      <c r="P1868" s="159"/>
      <c r="Q1868" s="147"/>
      <c r="R1868" s="149"/>
    </row>
    <row r="1869" spans="1:18" ht="30" customHeight="1">
      <c r="A1869" s="294" t="s">
        <v>304</v>
      </c>
      <c r="B1869" s="1436" t="s">
        <v>330</v>
      </c>
      <c r="C1869" s="1437"/>
      <c r="D1869" s="1438"/>
      <c r="E1869" s="532" t="s">
        <v>295</v>
      </c>
      <c r="F1869" s="219" t="s">
        <v>331</v>
      </c>
      <c r="G1869" s="1206" t="s">
        <v>332</v>
      </c>
      <c r="H1869" s="1207"/>
      <c r="I1869" s="167" t="s">
        <v>305</v>
      </c>
      <c r="J1869" s="167"/>
      <c r="K1869" s="1206" t="s">
        <v>297</v>
      </c>
      <c r="L1869" s="1207"/>
      <c r="M1869" s="1146"/>
      <c r="N1869" s="1103"/>
      <c r="O1869"/>
      <c r="P1869" s="159"/>
      <c r="Q1869" s="147"/>
      <c r="R1869" s="149"/>
    </row>
    <row r="1870" spans="1:18" ht="30" customHeight="1">
      <c r="A1870" s="24" t="s">
        <v>382</v>
      </c>
      <c r="B1870" s="1162" t="s">
        <v>2896</v>
      </c>
      <c r="C1870" s="1163"/>
      <c r="D1870" s="1164"/>
      <c r="E1870" s="115">
        <f>222.42-2.42</f>
        <v>220</v>
      </c>
      <c r="F1870" s="10" t="s">
        <v>8</v>
      </c>
      <c r="G1870" s="551"/>
      <c r="H1870" s="489"/>
      <c r="I1870" s="10">
        <v>1.05</v>
      </c>
      <c r="J1870" s="10"/>
      <c r="K1870" s="115">
        <f>+E1870*I1870</f>
        <v>231</v>
      </c>
      <c r="L1870" s="10" t="s">
        <v>8</v>
      </c>
      <c r="M1870" s="1146"/>
      <c r="N1870" s="1103"/>
      <c r="O1870"/>
      <c r="P1870" s="159"/>
      <c r="Q1870" s="147"/>
      <c r="R1870" s="149"/>
    </row>
    <row r="1871" spans="1:18" ht="30" customHeight="1">
      <c r="A1871" s="24" t="s">
        <v>461</v>
      </c>
      <c r="B1871" s="1162" t="s">
        <v>2714</v>
      </c>
      <c r="C1871" s="1163"/>
      <c r="D1871" s="1164"/>
      <c r="E1871" s="253">
        <v>109000</v>
      </c>
      <c r="F1871" s="10" t="s">
        <v>10</v>
      </c>
      <c r="G1871" s="559">
        <f>+H1868</f>
        <v>3589</v>
      </c>
      <c r="H1871" s="557" t="s">
        <v>1249</v>
      </c>
      <c r="I1871" s="10">
        <v>1.07</v>
      </c>
      <c r="J1871" s="10"/>
      <c r="K1871" s="115">
        <f>+E1871/H1868*I1871*1</f>
        <v>32.496517135692393</v>
      </c>
      <c r="L1871" s="10" t="s">
        <v>8</v>
      </c>
      <c r="M1871" s="1146"/>
      <c r="N1871" s="1103"/>
      <c r="O1871"/>
      <c r="P1871" s="159"/>
      <c r="Q1871" s="147"/>
      <c r="R1871" s="149"/>
    </row>
    <row r="1872" spans="1:18" ht="30" customHeight="1">
      <c r="A1872" s="24" t="s">
        <v>461</v>
      </c>
      <c r="B1872" s="1162" t="s">
        <v>1250</v>
      </c>
      <c r="C1872" s="1163"/>
      <c r="D1872" s="1164"/>
      <c r="E1872" s="416">
        <f>+(228+250)/2</f>
        <v>239</v>
      </c>
      <c r="F1872" s="401" t="s">
        <v>6</v>
      </c>
      <c r="G1872" s="234">
        <f>150/H1868</f>
        <v>4.1794371691278906E-2</v>
      </c>
      <c r="H1872" s="557" t="s">
        <v>1251</v>
      </c>
      <c r="I1872" s="10">
        <v>1.07</v>
      </c>
      <c r="J1872" s="10"/>
      <c r="K1872" s="115">
        <f>+E1872*(G1872)*I1872</f>
        <v>10.688074672610755</v>
      </c>
      <c r="L1872" s="10" t="s">
        <v>8</v>
      </c>
      <c r="M1872" s="1146"/>
      <c r="N1872" s="1103"/>
      <c r="O1872"/>
      <c r="P1872" s="159"/>
      <c r="Q1872" s="147"/>
      <c r="R1872" s="149"/>
    </row>
    <row r="1873" spans="1:24" ht="30" customHeight="1">
      <c r="A1873" s="24" t="s">
        <v>461</v>
      </c>
      <c r="B1873" s="1162" t="s">
        <v>463</v>
      </c>
      <c r="C1873" s="1163"/>
      <c r="D1873" s="1164"/>
      <c r="E1873" s="416">
        <f>+(22.2+44.75)/2</f>
        <v>33.475000000000001</v>
      </c>
      <c r="F1873" s="401" t="s">
        <v>6</v>
      </c>
      <c r="G1873" s="234">
        <f>150/H1868</f>
        <v>4.1794371691278906E-2</v>
      </c>
      <c r="H1873" s="557" t="s">
        <v>1251</v>
      </c>
      <c r="I1873" s="10">
        <v>1.07</v>
      </c>
      <c r="J1873" s="10"/>
      <c r="K1873" s="115">
        <f>+E1873*(G1873)*I1873</f>
        <v>1.4970012538311508</v>
      </c>
      <c r="L1873" s="10" t="s">
        <v>8</v>
      </c>
      <c r="M1873" s="1146"/>
      <c r="N1873" s="1103"/>
      <c r="O1873"/>
      <c r="P1873" s="159"/>
      <c r="Q1873" s="147"/>
      <c r="R1873" s="149"/>
    </row>
    <row r="1874" spans="1:24" ht="30" customHeight="1">
      <c r="A1874" s="24" t="s">
        <v>377</v>
      </c>
      <c r="B1874" s="1182" t="s">
        <v>1252</v>
      </c>
      <c r="C1874" s="1183"/>
      <c r="D1874" s="1183"/>
      <c r="E1874" s="115">
        <v>4.5</v>
      </c>
      <c r="F1874" s="401" t="s">
        <v>8</v>
      </c>
      <c r="G1874" s="452"/>
      <c r="H1874" s="557"/>
      <c r="I1874" s="10">
        <v>1.05</v>
      </c>
      <c r="J1874" s="10"/>
      <c r="K1874" s="115">
        <f>+E1874*I1874</f>
        <v>4.7250000000000005</v>
      </c>
      <c r="L1874" s="10" t="s">
        <v>8</v>
      </c>
      <c r="M1874" s="1146"/>
      <c r="N1874" s="1103"/>
      <c r="O1874"/>
      <c r="P1874" s="159"/>
      <c r="Q1874" s="147"/>
      <c r="R1874" s="149"/>
    </row>
    <row r="1875" spans="1:24" ht="30" customHeight="1">
      <c r="A1875" s="24" t="s">
        <v>377</v>
      </c>
      <c r="B1875" s="1182" t="s">
        <v>1253</v>
      </c>
      <c r="C1875" s="1183"/>
      <c r="D1875" s="1184"/>
      <c r="E1875" s="115">
        <f>0.15*E1874</f>
        <v>0.67499999999999993</v>
      </c>
      <c r="F1875" s="401" t="s">
        <v>8</v>
      </c>
      <c r="G1875" s="452"/>
      <c r="H1875" s="557"/>
      <c r="I1875" s="10">
        <v>1.05</v>
      </c>
      <c r="J1875" s="10"/>
      <c r="K1875" s="115">
        <f>+E1875*I1875</f>
        <v>0.70874999999999999</v>
      </c>
      <c r="L1875" s="10" t="s">
        <v>8</v>
      </c>
      <c r="M1875" s="1146"/>
      <c r="N1875" s="1103"/>
      <c r="O1875"/>
      <c r="P1875" s="159"/>
      <c r="Q1875" s="147"/>
      <c r="R1875" s="149"/>
    </row>
    <row r="1876" spans="1:24" ht="30" customHeight="1">
      <c r="A1876" s="24" t="s">
        <v>377</v>
      </c>
      <c r="B1876" s="1162" t="s">
        <v>987</v>
      </c>
      <c r="C1876" s="1163"/>
      <c r="D1876" s="1164"/>
      <c r="E1876" s="14">
        <f xml:space="preserve"> 0.53+((1.06+1.57)/2)</f>
        <v>1.845</v>
      </c>
      <c r="F1876" s="401" t="s">
        <v>8</v>
      </c>
      <c r="G1876" s="452"/>
      <c r="H1876" s="557"/>
      <c r="I1876" s="10">
        <v>1.05</v>
      </c>
      <c r="J1876" s="10"/>
      <c r="K1876" s="115">
        <f>+E1876*I1876</f>
        <v>1.9372500000000001</v>
      </c>
      <c r="L1876" s="10" t="s">
        <v>8</v>
      </c>
      <c r="M1876" s="1146"/>
      <c r="N1876" s="1103"/>
      <c r="O1876"/>
      <c r="P1876" s="159"/>
      <c r="Q1876" s="147"/>
      <c r="R1876" s="149"/>
    </row>
    <row r="1877" spans="1:24" ht="30" customHeight="1">
      <c r="A1877" s="24"/>
      <c r="B1877" s="1340"/>
      <c r="C1877" s="1340"/>
      <c r="D1877" s="1340"/>
      <c r="E1877" s="416"/>
      <c r="F1877" s="10"/>
      <c r="G1877" s="402"/>
      <c r="H1877" s="560"/>
      <c r="I1877" s="10"/>
      <c r="J1877" s="10" t="s">
        <v>346</v>
      </c>
      <c r="K1877" s="115">
        <f>SUM(K1870:K1876)</f>
        <v>283.05259306213435</v>
      </c>
      <c r="L1877" s="10" t="s">
        <v>8</v>
      </c>
      <c r="M1877" s="1146"/>
      <c r="N1877" s="1103"/>
      <c r="O1877"/>
      <c r="P1877" s="159"/>
      <c r="Q1877" s="147"/>
      <c r="R1877" s="149"/>
      <c r="T1877" s="38"/>
      <c r="U1877" s="38"/>
      <c r="V1877" s="38"/>
      <c r="W1877" s="38"/>
      <c r="X1877" s="38"/>
    </row>
    <row r="1878" spans="1:24" s="38" customFormat="1" ht="30" customHeight="1">
      <c r="A1878" s="45"/>
      <c r="B1878" s="189"/>
      <c r="C1878" s="189"/>
      <c r="D1878" s="189"/>
      <c r="E1878" s="213"/>
      <c r="F1878" s="1174" t="s">
        <v>308</v>
      </c>
      <c r="G1878" s="1208" t="s">
        <v>309</v>
      </c>
      <c r="H1878" s="1208"/>
      <c r="I1878" s="1208"/>
      <c r="J1878" s="1208"/>
      <c r="K1878" s="326">
        <f>(1.06+1.08)/2</f>
        <v>1.07</v>
      </c>
      <c r="L1878" s="10"/>
      <c r="M1878" s="1146"/>
      <c r="N1878" s="1103"/>
      <c r="P1878" s="159"/>
      <c r="Q1878" s="147"/>
      <c r="R1878" s="149"/>
      <c r="T1878"/>
      <c r="U1878"/>
      <c r="V1878"/>
      <c r="W1878"/>
      <c r="X1878"/>
    </row>
    <row r="1879" spans="1:24" ht="30" customHeight="1">
      <c r="A1879" s="45"/>
      <c r="B1879" s="189"/>
      <c r="C1879" s="189"/>
      <c r="D1879" s="189"/>
      <c r="E1879" s="213"/>
      <c r="F1879" s="1175"/>
      <c r="G1879" s="1209" t="s">
        <v>310</v>
      </c>
      <c r="H1879" s="1209"/>
      <c r="I1879" s="1209"/>
      <c r="J1879" s="1209"/>
      <c r="K1879" s="123">
        <v>1.07</v>
      </c>
      <c r="L1879" s="10"/>
      <c r="M1879" s="1146"/>
      <c r="N1879" s="1103"/>
      <c r="O1879"/>
      <c r="P1879" s="159"/>
      <c r="Q1879" s="147"/>
      <c r="R1879" s="149"/>
    </row>
    <row r="1880" spans="1:24" ht="30" customHeight="1">
      <c r="A1880" s="24"/>
      <c r="B1880" s="24"/>
      <c r="C1880" s="47"/>
      <c r="D1880" s="47"/>
      <c r="E1880" s="47"/>
      <c r="F1880" s="47"/>
      <c r="G1880" s="47"/>
      <c r="H1880" s="88"/>
      <c r="I1880" s="47"/>
      <c r="J1880" s="24" t="s">
        <v>289</v>
      </c>
      <c r="K1880" s="17">
        <f>+K1877*K1878/K1879</f>
        <v>283.05259306213435</v>
      </c>
      <c r="L1880" s="24" t="s">
        <v>8</v>
      </c>
      <c r="M1880" s="1146"/>
      <c r="N1880" s="1103"/>
      <c r="O1880"/>
      <c r="P1880" s="159"/>
      <c r="Q1880" s="147"/>
      <c r="R1880" s="149"/>
    </row>
    <row r="1881" spans="1:24" ht="30" customHeight="1">
      <c r="A1881" s="177"/>
      <c r="B1881" s="177"/>
      <c r="C1881" s="175"/>
      <c r="D1881" s="175"/>
      <c r="E1881" s="175"/>
      <c r="F1881" s="175"/>
      <c r="H1881" s="561"/>
      <c r="I1881" s="562" t="s">
        <v>385</v>
      </c>
      <c r="J1881" s="178">
        <f>VLOOKUP(B1868,'Mil Cost Premiums for RUCs'!$A$4:$R$266,18,FALSE)</f>
        <v>1.3319480854780448</v>
      </c>
      <c r="K1881" s="17">
        <f>+K1880*J1881</f>
        <v>377.01135941870592</v>
      </c>
      <c r="L1881" s="24" t="s">
        <v>8</v>
      </c>
      <c r="M1881" s="1146"/>
      <c r="N1881" s="1103"/>
      <c r="O1881"/>
      <c r="P1881" s="159"/>
      <c r="Q1881" s="147"/>
      <c r="R1881" s="149"/>
    </row>
    <row r="1882" spans="1:24" ht="60" customHeight="1">
      <c r="A1882" s="1337" t="s">
        <v>313</v>
      </c>
      <c r="B1882" s="1338"/>
      <c r="C1882" s="1338"/>
      <c r="D1882" s="1338"/>
      <c r="E1882" s="1338"/>
      <c r="F1882" s="1338"/>
      <c r="G1882" s="1338"/>
      <c r="H1882" s="1338"/>
      <c r="I1882" s="1338"/>
      <c r="J1882" s="1338"/>
      <c r="K1882" s="1338"/>
      <c r="L1882" s="1339"/>
      <c r="M1882" s="1146"/>
      <c r="N1882" s="282"/>
      <c r="O1882" s="34"/>
      <c r="P1882" s="283"/>
      <c r="Q1882" s="282"/>
      <c r="R1882" s="284"/>
    </row>
    <row r="1883" spans="1:24" ht="30" customHeight="1">
      <c r="A1883" s="1516" t="s">
        <v>314</v>
      </c>
      <c r="B1883" s="1517"/>
      <c r="C1883" s="1518"/>
      <c r="D1883" s="1270" t="s">
        <v>1254</v>
      </c>
      <c r="E1883" s="1371"/>
      <c r="F1883" s="1371"/>
      <c r="G1883" s="1371"/>
      <c r="H1883" s="1371"/>
      <c r="I1883" s="1371"/>
      <c r="J1883" s="1371"/>
      <c r="K1883" s="1371"/>
      <c r="L1883" s="1372"/>
      <c r="M1883" s="1146"/>
      <c r="N1883" s="282"/>
      <c r="O1883" s="34"/>
      <c r="P1883" s="283"/>
      <c r="Q1883" s="282"/>
      <c r="R1883" s="284"/>
    </row>
    <row r="1884" spans="1:24" ht="45" customHeight="1">
      <c r="A1884" s="1516" t="s">
        <v>316</v>
      </c>
      <c r="B1884" s="1517"/>
      <c r="C1884" s="1518"/>
      <c r="D1884" s="1270" t="s">
        <v>1255</v>
      </c>
      <c r="E1884" s="1371"/>
      <c r="F1884" s="1371"/>
      <c r="G1884" s="1371"/>
      <c r="H1884" s="1371"/>
      <c r="I1884" s="1371"/>
      <c r="J1884" s="1371"/>
      <c r="K1884" s="1371"/>
      <c r="L1884" s="1372"/>
      <c r="M1884" s="1146"/>
      <c r="N1884" s="969"/>
      <c r="O1884"/>
      <c r="P1884" s="159"/>
      <c r="Q1884" s="147"/>
      <c r="R1884" s="149"/>
    </row>
    <row r="1885" spans="1:24" ht="30" customHeight="1">
      <c r="A1885" s="1513" t="s">
        <v>317</v>
      </c>
      <c r="B1885" s="1514"/>
      <c r="C1885" s="1515"/>
      <c r="D1885" s="1270" t="s">
        <v>2590</v>
      </c>
      <c r="E1885" s="1371"/>
      <c r="F1885" s="1371"/>
      <c r="G1885" s="1371"/>
      <c r="H1885" s="1371"/>
      <c r="I1885" s="1371"/>
      <c r="J1885" s="1371"/>
      <c r="K1885" s="1371"/>
      <c r="L1885" s="1372"/>
      <c r="M1885" s="1146"/>
      <c r="N1885" s="282"/>
      <c r="O1885"/>
      <c r="P1885" s="159"/>
      <c r="Q1885" s="147"/>
      <c r="R1885" s="149"/>
    </row>
    <row r="1886" spans="1:24" ht="45" customHeight="1">
      <c r="A1886" s="1516" t="s">
        <v>318</v>
      </c>
      <c r="B1886" s="1517"/>
      <c r="C1886" s="1518"/>
      <c r="D1886" s="1270" t="s">
        <v>1256</v>
      </c>
      <c r="E1886" s="1371"/>
      <c r="F1886" s="1371"/>
      <c r="G1886" s="1371"/>
      <c r="H1886" s="1371"/>
      <c r="I1886" s="1371"/>
      <c r="J1886" s="1371"/>
      <c r="K1886" s="1371"/>
      <c r="L1886" s="1372"/>
      <c r="M1886" s="1146"/>
      <c r="N1886" s="282"/>
      <c r="O1886"/>
      <c r="P1886" s="159"/>
      <c r="Q1886" s="147"/>
      <c r="R1886" s="149"/>
    </row>
    <row r="1887" spans="1:24" ht="30" customHeight="1">
      <c r="A1887" s="1516" t="s">
        <v>320</v>
      </c>
      <c r="B1887" s="1517"/>
      <c r="C1887" s="1518"/>
      <c r="D1887" s="1270" t="s">
        <v>1257</v>
      </c>
      <c r="E1887" s="1371"/>
      <c r="F1887" s="1371"/>
      <c r="G1887" s="1371"/>
      <c r="H1887" s="1371"/>
      <c r="I1887" s="1371"/>
      <c r="J1887" s="1371"/>
      <c r="K1887" s="1371"/>
      <c r="L1887" s="1372"/>
      <c r="M1887" s="1146"/>
      <c r="N1887" s="1103"/>
      <c r="O1887"/>
      <c r="P1887" s="159"/>
      <c r="Q1887" s="147"/>
      <c r="R1887" s="149"/>
      <c r="T1887" s="38"/>
      <c r="U1887" s="38"/>
      <c r="V1887" s="38"/>
      <c r="W1887" s="38"/>
      <c r="X1887" s="38"/>
    </row>
    <row r="1888" spans="1:24" s="38" customFormat="1" ht="30" customHeight="1">
      <c r="A1888" s="1516" t="s">
        <v>322</v>
      </c>
      <c r="B1888" s="1517"/>
      <c r="C1888" s="1518"/>
      <c r="D1888" s="1270" t="s">
        <v>1258</v>
      </c>
      <c r="E1888" s="1371"/>
      <c r="F1888" s="1371"/>
      <c r="G1888" s="1371"/>
      <c r="H1888" s="1371"/>
      <c r="I1888" s="1371"/>
      <c r="J1888" s="1371"/>
      <c r="K1888" s="1371"/>
      <c r="L1888" s="1372"/>
      <c r="M1888" s="1146"/>
      <c r="N1888" s="193"/>
      <c r="O1888" s="159"/>
      <c r="P1888" s="147"/>
      <c r="Q1888" s="149"/>
      <c r="T1888"/>
      <c r="U1888"/>
      <c r="V1888"/>
      <c r="W1888"/>
      <c r="X1888"/>
    </row>
    <row r="1889" spans="1:24" ht="30" customHeight="1">
      <c r="A1889" s="1516" t="s">
        <v>324</v>
      </c>
      <c r="B1889" s="1517"/>
      <c r="C1889" s="1518"/>
      <c r="D1889" s="1270" t="s">
        <v>1259</v>
      </c>
      <c r="E1889" s="1371"/>
      <c r="F1889" s="1371"/>
      <c r="G1889" s="1371"/>
      <c r="H1889" s="1371"/>
      <c r="I1889" s="1371"/>
      <c r="J1889" s="1371"/>
      <c r="K1889" s="1371"/>
      <c r="L1889" s="1372"/>
      <c r="M1889" s="1146"/>
      <c r="O1889" s="159"/>
      <c r="P1889" s="147"/>
      <c r="Q1889" s="149"/>
    </row>
    <row r="1890" spans="1:24" ht="75" customHeight="1">
      <c r="A1890" s="1516" t="s">
        <v>325</v>
      </c>
      <c r="B1890" s="1517"/>
      <c r="C1890" s="1518"/>
      <c r="D1890" s="1270" t="s">
        <v>391</v>
      </c>
      <c r="E1890" s="1371"/>
      <c r="F1890" s="1371"/>
      <c r="G1890" s="1371"/>
      <c r="H1890" s="1371"/>
      <c r="I1890" s="1371"/>
      <c r="J1890" s="1371"/>
      <c r="K1890" s="1371"/>
      <c r="L1890" s="1372"/>
      <c r="M1890" s="1146"/>
      <c r="O1890" s="159"/>
      <c r="P1890" s="147"/>
      <c r="Q1890" s="149"/>
    </row>
    <row r="1891" spans="1:24" ht="45" customHeight="1" thickBot="1">
      <c r="A1891" s="1513" t="s">
        <v>327</v>
      </c>
      <c r="B1891" s="1514"/>
      <c r="C1891" s="1515"/>
      <c r="D1891" s="1270" t="s">
        <v>1260</v>
      </c>
      <c r="E1891" s="1371"/>
      <c r="F1891" s="1371"/>
      <c r="G1891" s="1371"/>
      <c r="H1891" s="1371"/>
      <c r="I1891" s="1371"/>
      <c r="J1891" s="1371"/>
      <c r="K1891" s="1371"/>
      <c r="L1891" s="1372"/>
      <c r="M1891" s="1146"/>
      <c r="O1891" s="159"/>
      <c r="P1891" s="147"/>
      <c r="Q1891" s="149"/>
    </row>
    <row r="1892" spans="1:24" ht="30" customHeight="1" thickBot="1">
      <c r="A1892" s="1165"/>
      <c r="B1892" s="1166"/>
      <c r="C1892" s="1166"/>
      <c r="D1892" s="1166"/>
      <c r="E1892" s="1166"/>
      <c r="F1892" s="1166"/>
      <c r="G1892" s="1166"/>
      <c r="H1892" s="1166"/>
      <c r="I1892" s="1166"/>
      <c r="J1892" s="1166"/>
      <c r="K1892" s="1166"/>
      <c r="L1892" s="1167"/>
      <c r="M1892" s="1146"/>
      <c r="O1892" s="159"/>
      <c r="P1892" s="147"/>
      <c r="Q1892" s="149"/>
    </row>
    <row r="1893" spans="1:24" ht="30" customHeight="1">
      <c r="A1893" s="108" t="s">
        <v>280</v>
      </c>
      <c r="B1893" s="163">
        <v>3171</v>
      </c>
      <c r="C1893" s="1479" t="s">
        <v>1261</v>
      </c>
      <c r="D1893" s="1479"/>
      <c r="E1893" s="216" t="s">
        <v>282</v>
      </c>
      <c r="F1893" s="217" t="s">
        <v>8</v>
      </c>
      <c r="G1893" s="58" t="s">
        <v>290</v>
      </c>
      <c r="H1893" s="455">
        <v>9765</v>
      </c>
      <c r="I1893" s="216" t="s">
        <v>283</v>
      </c>
      <c r="J1893" s="1199" t="s">
        <v>2529</v>
      </c>
      <c r="K1893" s="1199"/>
      <c r="L1893" s="1200"/>
      <c r="M1893" s="1146"/>
      <c r="O1893" s="159"/>
      <c r="P1893" s="147"/>
      <c r="Q1893" s="149"/>
      <c r="T1893" s="25"/>
      <c r="U1893" s="25"/>
      <c r="V1893" s="25"/>
      <c r="W1893" s="25"/>
      <c r="X1893" s="25"/>
    </row>
    <row r="1894" spans="1:24" s="25" customFormat="1" ht="30" customHeight="1">
      <c r="A1894" s="294" t="s">
        <v>304</v>
      </c>
      <c r="B1894" s="1324" t="s">
        <v>330</v>
      </c>
      <c r="C1894" s="1325"/>
      <c r="D1894" s="1326"/>
      <c r="E1894" s="219" t="s">
        <v>295</v>
      </c>
      <c r="F1894" s="219" t="s">
        <v>331</v>
      </c>
      <c r="G1894" s="1206" t="s">
        <v>332</v>
      </c>
      <c r="H1894" s="1207"/>
      <c r="I1894" s="449" t="s">
        <v>1007</v>
      </c>
      <c r="J1894" s="167" t="s">
        <v>305</v>
      </c>
      <c r="K1894" s="1206" t="s">
        <v>297</v>
      </c>
      <c r="L1894" s="1207"/>
      <c r="M1894" s="1146"/>
      <c r="O1894" s="229"/>
      <c r="P1894" s="1103"/>
      <c r="Q1894" s="230"/>
      <c r="T1894"/>
      <c r="U1894"/>
      <c r="V1894"/>
      <c r="W1894"/>
      <c r="X1894"/>
    </row>
    <row r="1895" spans="1:24" ht="30" customHeight="1">
      <c r="A1895" s="24" t="s">
        <v>980</v>
      </c>
      <c r="B1895" s="1162" t="s">
        <v>1232</v>
      </c>
      <c r="C1895" s="1163"/>
      <c r="D1895" s="1164"/>
      <c r="E1895" s="115">
        <f>90.12-2.42</f>
        <v>87.7</v>
      </c>
      <c r="F1895" s="10" t="s">
        <v>8</v>
      </c>
      <c r="G1895" s="450"/>
      <c r="H1895" s="297"/>
      <c r="I1895" s="451">
        <f>+E1895</f>
        <v>87.7</v>
      </c>
      <c r="J1895" s="10">
        <v>1.05</v>
      </c>
      <c r="K1895" s="299">
        <f t="shared" ref="K1895:K1902" si="44">+I1895*J1895</f>
        <v>92.085000000000008</v>
      </c>
      <c r="L1895" s="6" t="s">
        <v>8</v>
      </c>
      <c r="M1895" s="1146"/>
      <c r="O1895" s="159"/>
      <c r="P1895" s="147"/>
      <c r="Q1895" s="149"/>
    </row>
    <row r="1896" spans="1:24" ht="30" customHeight="1">
      <c r="A1896" s="24" t="s">
        <v>377</v>
      </c>
      <c r="B1896" s="1162" t="s">
        <v>384</v>
      </c>
      <c r="C1896" s="1163"/>
      <c r="D1896" s="1164"/>
      <c r="E1896" s="142">
        <v>4.01</v>
      </c>
      <c r="F1896" s="10" t="s">
        <v>8</v>
      </c>
      <c r="G1896" s="452"/>
      <c r="H1896" s="439"/>
      <c r="I1896" s="453">
        <f>+E1896</f>
        <v>4.01</v>
      </c>
      <c r="J1896" s="10">
        <v>1.05</v>
      </c>
      <c r="K1896" s="299">
        <f t="shared" si="44"/>
        <v>4.2104999999999997</v>
      </c>
      <c r="L1896" s="6" t="s">
        <v>8</v>
      </c>
      <c r="M1896" s="1146"/>
      <c r="O1896" s="159"/>
      <c r="P1896" s="147"/>
      <c r="Q1896" s="149"/>
    </row>
    <row r="1897" spans="1:24" ht="30" customHeight="1">
      <c r="A1897" s="24" t="s">
        <v>395</v>
      </c>
      <c r="B1897" s="1162" t="s">
        <v>1262</v>
      </c>
      <c r="C1897" s="1163"/>
      <c r="D1897" s="1164"/>
      <c r="E1897" s="14">
        <v>23.88</v>
      </c>
      <c r="F1897" s="401" t="s">
        <v>8</v>
      </c>
      <c r="G1897" s="239">
        <f>81*2*E1897</f>
        <v>3868.56</v>
      </c>
      <c r="H1897" s="439"/>
      <c r="I1897" s="453">
        <f>+G1897/H1893</f>
        <v>0.3961658986175115</v>
      </c>
      <c r="J1897" s="10">
        <v>1.06</v>
      </c>
      <c r="K1897" s="299">
        <f t="shared" si="44"/>
        <v>0.41993585253456223</v>
      </c>
      <c r="L1897" s="6" t="s">
        <v>8</v>
      </c>
      <c r="M1897" s="1146"/>
      <c r="O1897" s="159"/>
      <c r="P1897" s="147"/>
      <c r="Q1897" s="149"/>
    </row>
    <row r="1898" spans="1:24" ht="30" customHeight="1">
      <c r="A1898" s="24" t="s">
        <v>395</v>
      </c>
      <c r="B1898" s="1162" t="s">
        <v>397</v>
      </c>
      <c r="C1898" s="1163"/>
      <c r="D1898" s="1164"/>
      <c r="E1898" s="14">
        <v>1905</v>
      </c>
      <c r="F1898" s="401"/>
      <c r="G1898" s="7">
        <f>+E1898*2</f>
        <v>3810</v>
      </c>
      <c r="H1898" s="439"/>
      <c r="I1898" s="453">
        <f>+G1898/H1893</f>
        <v>0.3901689708141321</v>
      </c>
      <c r="J1898" s="10">
        <v>1.06</v>
      </c>
      <c r="K1898" s="299">
        <f t="shared" si="44"/>
        <v>0.41357910906298007</v>
      </c>
      <c r="L1898" s="6" t="s">
        <v>8</v>
      </c>
      <c r="M1898" s="1146"/>
      <c r="O1898" s="159"/>
      <c r="P1898" s="147"/>
      <c r="Q1898" s="149"/>
    </row>
    <row r="1899" spans="1:24" ht="30" customHeight="1">
      <c r="A1899" s="24" t="s">
        <v>398</v>
      </c>
      <c r="B1899" s="1439" t="s">
        <v>2716</v>
      </c>
      <c r="C1899" s="1440"/>
      <c r="D1899" s="1441"/>
      <c r="E1899" s="416">
        <f>+(31.5+75)/2</f>
        <v>53.25</v>
      </c>
      <c r="F1899" s="541" t="s">
        <v>6</v>
      </c>
      <c r="G1899" s="538">
        <v>20</v>
      </c>
      <c r="H1899" s="539" t="s">
        <v>1150</v>
      </c>
      <c r="I1899" s="540">
        <f>+E1899*G1899/H1893</f>
        <v>0.10906298003072197</v>
      </c>
      <c r="J1899" s="24">
        <v>1.04</v>
      </c>
      <c r="K1899" s="537">
        <f t="shared" si="44"/>
        <v>0.11342549923195085</v>
      </c>
      <c r="L1899" s="390" t="s">
        <v>8</v>
      </c>
      <c r="M1899" s="1146"/>
      <c r="N1899" s="282"/>
      <c r="O1899" s="34"/>
      <c r="P1899" s="283"/>
      <c r="Q1899" s="282"/>
      <c r="R1899" s="284"/>
    </row>
    <row r="1900" spans="1:24" ht="30" customHeight="1">
      <c r="A1900" s="24" t="s">
        <v>398</v>
      </c>
      <c r="B1900" s="1439" t="s">
        <v>1026</v>
      </c>
      <c r="C1900" s="1440"/>
      <c r="D1900" s="1441"/>
      <c r="E1900" s="416">
        <f>+(5900+11300)/2</f>
        <v>8600</v>
      </c>
      <c r="F1900" s="541" t="s">
        <v>10</v>
      </c>
      <c r="G1900" s="538">
        <v>2</v>
      </c>
      <c r="H1900" s="539" t="s">
        <v>1011</v>
      </c>
      <c r="I1900" s="540">
        <f>+E1900*2/H1893</f>
        <v>1.7613927291346647</v>
      </c>
      <c r="J1900" s="24">
        <v>1.04</v>
      </c>
      <c r="K1900" s="537">
        <f t="shared" si="44"/>
        <v>1.8318484383000513</v>
      </c>
      <c r="L1900" s="390" t="s">
        <v>8</v>
      </c>
      <c r="M1900" s="1146"/>
      <c r="N1900" s="282"/>
      <c r="O1900" s="34"/>
      <c r="P1900" s="283"/>
      <c r="Q1900" s="282"/>
      <c r="R1900" s="284"/>
    </row>
    <row r="1901" spans="1:24" ht="30" customHeight="1">
      <c r="A1901" s="24" t="s">
        <v>398</v>
      </c>
      <c r="B1901" s="1439" t="s">
        <v>1027</v>
      </c>
      <c r="C1901" s="1440"/>
      <c r="D1901" s="1441"/>
      <c r="E1901" s="253">
        <f>+(605+925)/2</f>
        <v>765</v>
      </c>
      <c r="F1901" s="541" t="s">
        <v>10</v>
      </c>
      <c r="G1901" s="538">
        <v>2</v>
      </c>
      <c r="H1901" s="539" t="s">
        <v>1011</v>
      </c>
      <c r="I1901" s="540">
        <f>+E1901*2/H1893</f>
        <v>0.15668202764976957</v>
      </c>
      <c r="J1901" s="24">
        <v>1.04</v>
      </c>
      <c r="K1901" s="537">
        <f t="shared" si="44"/>
        <v>0.16294930875576036</v>
      </c>
      <c r="L1901" s="390" t="s">
        <v>8</v>
      </c>
      <c r="M1901" s="1146"/>
      <c r="O1901" s="159"/>
      <c r="P1901" s="147"/>
      <c r="Q1901" s="149"/>
    </row>
    <row r="1902" spans="1:24" ht="30" customHeight="1">
      <c r="A1902" s="24" t="s">
        <v>398</v>
      </c>
      <c r="B1902" s="1439" t="s">
        <v>1028</v>
      </c>
      <c r="C1902" s="1440"/>
      <c r="D1902" s="1441"/>
      <c r="E1902" s="416">
        <f>+(1060+3175)/2</f>
        <v>2117.5</v>
      </c>
      <c r="F1902" s="541" t="s">
        <v>10</v>
      </c>
      <c r="G1902" s="538">
        <v>2</v>
      </c>
      <c r="H1902" s="539" t="s">
        <v>1011</v>
      </c>
      <c r="I1902" s="540">
        <f>+E1902*2/H1893</f>
        <v>0.43369175627240142</v>
      </c>
      <c r="J1902" s="24">
        <v>1.04</v>
      </c>
      <c r="K1902" s="537">
        <f t="shared" si="44"/>
        <v>0.45103942652329748</v>
      </c>
      <c r="L1902" s="390" t="s">
        <v>8</v>
      </c>
      <c r="M1902" s="1146"/>
      <c r="O1902" s="159"/>
      <c r="P1902" s="147"/>
      <c r="Q1902" s="149"/>
    </row>
    <row r="1903" spans="1:24" ht="30" customHeight="1">
      <c r="A1903" s="24"/>
      <c r="B1903" s="1340"/>
      <c r="C1903" s="1340"/>
      <c r="D1903" s="1340"/>
      <c r="E1903" s="416"/>
      <c r="F1903" s="24"/>
      <c r="G1903" s="544"/>
      <c r="H1903" s="418"/>
      <c r="I1903" s="418"/>
      <c r="J1903" s="24" t="s">
        <v>379</v>
      </c>
      <c r="K1903" s="416">
        <f>SUM(K1895:K1902)</f>
        <v>99.688277634408607</v>
      </c>
      <c r="L1903" s="390" t="s">
        <v>8</v>
      </c>
      <c r="M1903" s="1146"/>
      <c r="N1903" s="1103"/>
      <c r="O1903"/>
      <c r="P1903" s="159"/>
      <c r="Q1903" s="147"/>
      <c r="R1903" s="149"/>
    </row>
    <row r="1904" spans="1:24" ht="30" customHeight="1">
      <c r="A1904" s="45"/>
      <c r="B1904" s="189"/>
      <c r="C1904" s="189"/>
      <c r="D1904" s="189"/>
      <c r="E1904" s="189"/>
      <c r="F1904" s="1367" t="s">
        <v>308</v>
      </c>
      <c r="G1904" s="1369" t="s">
        <v>309</v>
      </c>
      <c r="H1904" s="1369"/>
      <c r="I1904" s="1369"/>
      <c r="J1904" s="1369"/>
      <c r="K1904" s="123">
        <v>1.08</v>
      </c>
      <c r="L1904" s="24"/>
      <c r="M1904" s="1146"/>
      <c r="N1904" s="1103"/>
      <c r="O1904"/>
      <c r="P1904" s="159"/>
      <c r="Q1904" s="147"/>
      <c r="R1904" s="149"/>
    </row>
    <row r="1905" spans="1:24" ht="30" customHeight="1">
      <c r="A1905" s="45"/>
      <c r="B1905" s="189"/>
      <c r="C1905" s="189"/>
      <c r="D1905" s="189"/>
      <c r="E1905" s="189"/>
      <c r="F1905" s="1368"/>
      <c r="G1905" s="1370" t="s">
        <v>310</v>
      </c>
      <c r="H1905" s="1370"/>
      <c r="I1905" s="1370"/>
      <c r="J1905" s="1370"/>
      <c r="K1905" s="123">
        <v>1.07</v>
      </c>
      <c r="L1905" s="24"/>
      <c r="M1905" s="1146"/>
      <c r="N1905" s="1103"/>
      <c r="O1905"/>
      <c r="P1905" s="159"/>
      <c r="Q1905" s="147"/>
      <c r="R1905" s="149"/>
    </row>
    <row r="1906" spans="1:24" ht="30" customHeight="1">
      <c r="A1906" s="545"/>
      <c r="B1906" s="1556"/>
      <c r="C1906" s="1557"/>
      <c r="D1906" s="1557"/>
      <c r="E1906" s="1557"/>
      <c r="F1906" s="1557"/>
      <c r="G1906" s="563"/>
      <c r="H1906" s="47"/>
      <c r="I1906" s="47"/>
      <c r="J1906" s="47" t="s">
        <v>289</v>
      </c>
      <c r="K1906" s="17">
        <f>+K1903*K1904/K1905</f>
        <v>100.61994378052458</v>
      </c>
      <c r="L1906" s="390" t="s">
        <v>8</v>
      </c>
      <c r="M1906" s="1146"/>
      <c r="N1906" s="1103"/>
      <c r="O1906"/>
      <c r="P1906" s="159"/>
      <c r="Q1906" s="147"/>
      <c r="R1906" s="149"/>
    </row>
    <row r="1907" spans="1:24" ht="30" customHeight="1">
      <c r="A1907" s="545"/>
      <c r="B1907" s="546"/>
      <c r="C1907" s="547"/>
      <c r="D1907" s="547"/>
      <c r="E1907" s="547"/>
      <c r="F1907" s="547"/>
      <c r="H1907" s="47"/>
      <c r="I1907" s="548" t="s">
        <v>385</v>
      </c>
      <c r="J1907" s="178">
        <f>VLOOKUP(B1893,'Mil Cost Premiums for RUCs'!$A$4:$R$266,18,FALSE)</f>
        <v>1.3319480854780448</v>
      </c>
      <c r="K1907" s="17">
        <f>+K1906*J1907</f>
        <v>134.02054147937821</v>
      </c>
      <c r="L1907" s="390" t="s">
        <v>8</v>
      </c>
      <c r="M1907" s="1146"/>
      <c r="N1907" s="1103"/>
      <c r="O1907"/>
      <c r="P1907" s="159"/>
      <c r="Q1907" s="147"/>
      <c r="R1907" s="149"/>
    </row>
    <row r="1908" spans="1:24" ht="60" customHeight="1">
      <c r="A1908" s="1340" t="s">
        <v>313</v>
      </c>
      <c r="B1908" s="1340"/>
      <c r="C1908" s="1340"/>
      <c r="D1908" s="1340"/>
      <c r="E1908" s="1340"/>
      <c r="F1908" s="1340"/>
      <c r="G1908" s="1340"/>
      <c r="H1908" s="1340"/>
      <c r="I1908" s="1340"/>
      <c r="J1908" s="1340"/>
      <c r="K1908" s="1340"/>
      <c r="L1908" s="1340"/>
      <c r="M1908" s="1146"/>
      <c r="N1908" s="1103"/>
      <c r="O1908"/>
      <c r="P1908" s="159"/>
      <c r="Q1908" s="147"/>
      <c r="R1908" s="149"/>
    </row>
    <row r="1909" spans="1:24" ht="30" customHeight="1">
      <c r="A1909" s="1221" t="s">
        <v>314</v>
      </c>
      <c r="B1909" s="1221"/>
      <c r="C1909" s="1221"/>
      <c r="D1909" s="1332" t="s">
        <v>1263</v>
      </c>
      <c r="E1909" s="1332"/>
      <c r="F1909" s="1332"/>
      <c r="G1909" s="1332"/>
      <c r="H1909" s="1332"/>
      <c r="I1909" s="1332"/>
      <c r="J1909" s="1332"/>
      <c r="K1909" s="1332"/>
      <c r="L1909" s="1332"/>
      <c r="M1909" s="1146"/>
      <c r="N1909" s="1103"/>
      <c r="O1909"/>
      <c r="P1909" s="159"/>
      <c r="Q1909" s="147"/>
      <c r="R1909" s="149"/>
    </row>
    <row r="1910" spans="1:24" ht="30" customHeight="1">
      <c r="A1910" s="1221" t="s">
        <v>316</v>
      </c>
      <c r="B1910" s="1221"/>
      <c r="C1910" s="1221"/>
      <c r="D1910" s="1332" t="s">
        <v>1264</v>
      </c>
      <c r="E1910" s="1332"/>
      <c r="F1910" s="1332"/>
      <c r="G1910" s="1332"/>
      <c r="H1910" s="1332"/>
      <c r="I1910" s="1332"/>
      <c r="J1910" s="1332"/>
      <c r="K1910" s="1332"/>
      <c r="L1910" s="1332"/>
      <c r="M1910" s="1146"/>
      <c r="N1910" s="1103"/>
      <c r="O1910"/>
      <c r="P1910" s="159"/>
      <c r="Q1910" s="147"/>
      <c r="R1910" s="149"/>
    </row>
    <row r="1911" spans="1:24" ht="30" customHeight="1">
      <c r="A1911" s="1221" t="s">
        <v>317</v>
      </c>
      <c r="B1911" s="1221"/>
      <c r="C1911" s="1221"/>
      <c r="D1911" s="1332" t="s">
        <v>1265</v>
      </c>
      <c r="E1911" s="1332"/>
      <c r="F1911" s="1332"/>
      <c r="G1911" s="1332"/>
      <c r="H1911" s="1332"/>
      <c r="I1911" s="1332"/>
      <c r="J1911" s="1332"/>
      <c r="K1911" s="1332"/>
      <c r="L1911" s="1332"/>
      <c r="M1911" s="1146"/>
      <c r="N1911" s="1103"/>
      <c r="O1911"/>
      <c r="P1911" s="159"/>
      <c r="Q1911" s="147"/>
      <c r="R1911" s="149"/>
    </row>
    <row r="1912" spans="1:24" ht="30" customHeight="1">
      <c r="A1912" s="1221" t="s">
        <v>318</v>
      </c>
      <c r="B1912" s="1221"/>
      <c r="C1912" s="1221"/>
      <c r="D1912" s="1332" t="s">
        <v>1266</v>
      </c>
      <c r="E1912" s="1332"/>
      <c r="F1912" s="1332"/>
      <c r="G1912" s="1332"/>
      <c r="H1912" s="1332"/>
      <c r="I1912" s="1332"/>
      <c r="J1912" s="1332"/>
      <c r="K1912" s="1332"/>
      <c r="L1912" s="1332"/>
      <c r="M1912" s="1146"/>
      <c r="N1912" s="1103"/>
      <c r="O1912" s="43"/>
      <c r="P1912" s="283"/>
      <c r="Q1912" s="147"/>
      <c r="R1912" s="149"/>
    </row>
    <row r="1913" spans="1:24" ht="60" customHeight="1">
      <c r="A1913" s="1221" t="s">
        <v>320</v>
      </c>
      <c r="B1913" s="1221"/>
      <c r="C1913" s="1221"/>
      <c r="D1913" s="1332" t="s">
        <v>2715</v>
      </c>
      <c r="E1913" s="1332"/>
      <c r="F1913" s="1332"/>
      <c r="G1913" s="1332"/>
      <c r="H1913" s="1332"/>
      <c r="I1913" s="1332"/>
      <c r="J1913" s="1332"/>
      <c r="K1913" s="1332"/>
      <c r="L1913" s="1332"/>
      <c r="M1913" s="1146"/>
      <c r="N1913" s="1103"/>
      <c r="O1913" s="514"/>
      <c r="P1913" s="283"/>
      <c r="Q1913" s="147"/>
      <c r="R1913" s="149"/>
    </row>
    <row r="1914" spans="1:24" ht="30" customHeight="1">
      <c r="A1914" s="1221" t="s">
        <v>322</v>
      </c>
      <c r="B1914" s="1221"/>
      <c r="C1914" s="1221"/>
      <c r="D1914" s="1332" t="s">
        <v>2897</v>
      </c>
      <c r="E1914" s="1332"/>
      <c r="F1914" s="1332"/>
      <c r="G1914" s="1332"/>
      <c r="H1914" s="1332"/>
      <c r="I1914" s="1332"/>
      <c r="J1914" s="1332"/>
      <c r="K1914" s="1332"/>
      <c r="L1914" s="1332"/>
      <c r="M1914" s="1146"/>
      <c r="N1914" s="1103"/>
      <c r="O1914" s="43"/>
      <c r="P1914" s="283"/>
      <c r="Q1914" s="147"/>
      <c r="R1914" s="149"/>
      <c r="T1914" s="38"/>
      <c r="U1914" s="38"/>
      <c r="V1914" s="38"/>
      <c r="W1914" s="38"/>
      <c r="X1914" s="38"/>
    </row>
    <row r="1915" spans="1:24" s="38" customFormat="1" ht="30" customHeight="1">
      <c r="A1915" s="1221" t="s">
        <v>324</v>
      </c>
      <c r="B1915" s="1221"/>
      <c r="C1915" s="1221"/>
      <c r="D1915" s="1332" t="s">
        <v>1267</v>
      </c>
      <c r="E1915" s="1332"/>
      <c r="F1915" s="1332"/>
      <c r="G1915" s="1332"/>
      <c r="H1915" s="1332"/>
      <c r="I1915" s="1332"/>
      <c r="J1915" s="1332"/>
      <c r="K1915" s="1332"/>
      <c r="L1915" s="1332"/>
      <c r="M1915" s="1146"/>
      <c r="N1915" s="1103"/>
      <c r="O1915" s="51"/>
      <c r="P1915" s="283"/>
      <c r="Q1915" s="147"/>
      <c r="R1915" s="149"/>
      <c r="T1915"/>
      <c r="U1915"/>
      <c r="V1915"/>
      <c r="W1915"/>
      <c r="X1915"/>
    </row>
    <row r="1916" spans="1:24" ht="75" customHeight="1">
      <c r="A1916" s="1221" t="s">
        <v>325</v>
      </c>
      <c r="B1916" s="1221"/>
      <c r="C1916" s="1221"/>
      <c r="D1916" s="1332" t="s">
        <v>391</v>
      </c>
      <c r="E1916" s="1332"/>
      <c r="F1916" s="1332"/>
      <c r="G1916" s="1332"/>
      <c r="H1916" s="1332"/>
      <c r="I1916" s="1332"/>
      <c r="J1916" s="1332"/>
      <c r="K1916" s="1332"/>
      <c r="L1916" s="1332"/>
      <c r="M1916" s="1146"/>
      <c r="N1916" s="1103"/>
      <c r="O1916"/>
      <c r="P1916" s="283"/>
      <c r="Q1916" s="147"/>
      <c r="R1916" s="149"/>
    </row>
    <row r="1917" spans="1:24" ht="60" customHeight="1" thickBot="1">
      <c r="A1917" s="1565" t="s">
        <v>327</v>
      </c>
      <c r="B1917" s="1565"/>
      <c r="C1917" s="1565"/>
      <c r="D1917" s="1566" t="s">
        <v>1268</v>
      </c>
      <c r="E1917" s="1566"/>
      <c r="F1917" s="1566"/>
      <c r="G1917" s="1566"/>
      <c r="H1917" s="1566"/>
      <c r="I1917" s="1566"/>
      <c r="J1917" s="1566"/>
      <c r="K1917" s="1566"/>
      <c r="L1917" s="1566"/>
      <c r="M1917" s="1146"/>
      <c r="N1917" s="1103"/>
      <c r="O1917"/>
      <c r="P1917" s="283"/>
      <c r="Q1917" s="147"/>
      <c r="R1917" s="149"/>
    </row>
    <row r="1918" spans="1:24" ht="30" customHeight="1" thickBot="1">
      <c r="A1918" s="1165"/>
      <c r="B1918" s="1166"/>
      <c r="C1918" s="1166"/>
      <c r="D1918" s="1166"/>
      <c r="E1918" s="1166"/>
      <c r="F1918" s="1166"/>
      <c r="G1918" s="1166"/>
      <c r="H1918" s="1166"/>
      <c r="I1918" s="1166"/>
      <c r="J1918" s="1166"/>
      <c r="K1918" s="1166"/>
      <c r="L1918" s="1167"/>
      <c r="M1918" s="1146"/>
      <c r="N1918" s="1103"/>
      <c r="O1918"/>
      <c r="P1918" s="159"/>
      <c r="Q1918" s="147"/>
      <c r="R1918" s="149"/>
    </row>
    <row r="1919" spans="1:24" ht="30" customHeight="1">
      <c r="A1919" s="108" t="s">
        <v>280</v>
      </c>
      <c r="B1919" s="163">
        <v>3181</v>
      </c>
      <c r="C1919" s="1379" t="s">
        <v>1269</v>
      </c>
      <c r="D1919" s="1380"/>
      <c r="E1919" s="216" t="s">
        <v>282</v>
      </c>
      <c r="F1919" s="217" t="s">
        <v>8</v>
      </c>
      <c r="G1919" s="505" t="s">
        <v>1270</v>
      </c>
      <c r="H1919" s="218">
        <v>9108</v>
      </c>
      <c r="I1919" s="216" t="s">
        <v>283</v>
      </c>
      <c r="J1919" s="1310" t="s">
        <v>2527</v>
      </c>
      <c r="K1919" s="1310"/>
      <c r="L1919" s="1311"/>
      <c r="M1919" s="1146"/>
      <c r="N1919" s="1103"/>
      <c r="O1919"/>
      <c r="P1919" s="159"/>
      <c r="Q1919" s="147"/>
      <c r="R1919" s="149"/>
    </row>
    <row r="1920" spans="1:24" ht="30" customHeight="1">
      <c r="A1920" s="294" t="s">
        <v>304</v>
      </c>
      <c r="B1920" s="1324" t="s">
        <v>330</v>
      </c>
      <c r="C1920" s="1325"/>
      <c r="D1920" s="1326"/>
      <c r="E1920" s="219" t="s">
        <v>295</v>
      </c>
      <c r="F1920" s="219" t="s">
        <v>331</v>
      </c>
      <c r="G1920" s="1327" t="s">
        <v>332</v>
      </c>
      <c r="H1920" s="1328"/>
      <c r="I1920" s="449" t="s">
        <v>1235</v>
      </c>
      <c r="J1920" s="167" t="s">
        <v>305</v>
      </c>
      <c r="K1920" s="1206" t="s">
        <v>297</v>
      </c>
      <c r="L1920" s="1207"/>
      <c r="M1920" s="1146"/>
      <c r="N1920" s="282"/>
      <c r="O1920" s="34"/>
      <c r="P1920" s="283"/>
      <c r="Q1920" s="282"/>
      <c r="R1920" s="284"/>
    </row>
    <row r="1921" spans="1:24" ht="30" customHeight="1">
      <c r="A1921" s="24" t="s">
        <v>382</v>
      </c>
      <c r="B1921" s="1162" t="s">
        <v>2898</v>
      </c>
      <c r="C1921" s="1163"/>
      <c r="D1921" s="1164"/>
      <c r="E1921" s="115">
        <f>222.42-2.42</f>
        <v>220</v>
      </c>
      <c r="F1921" s="10" t="s">
        <v>8</v>
      </c>
      <c r="G1921" s="551"/>
      <c r="H1921" s="489"/>
      <c r="I1921" s="489"/>
      <c r="J1921" s="10">
        <v>1.05</v>
      </c>
      <c r="K1921" s="115">
        <f>+E1921*J1921</f>
        <v>231</v>
      </c>
      <c r="L1921" s="10" t="s">
        <v>8</v>
      </c>
      <c r="M1921" s="1146"/>
      <c r="N1921" s="282"/>
      <c r="O1921" s="34"/>
      <c r="P1921" s="283"/>
      <c r="Q1921" s="282"/>
      <c r="R1921" s="284"/>
    </row>
    <row r="1922" spans="1:24" ht="30" customHeight="1">
      <c r="A1922" s="24" t="s">
        <v>461</v>
      </c>
      <c r="B1922" s="1162" t="s">
        <v>1271</v>
      </c>
      <c r="C1922" s="1163"/>
      <c r="D1922" s="1164"/>
      <c r="E1922" s="142">
        <v>132000</v>
      </c>
      <c r="F1922" s="24" t="s">
        <v>10</v>
      </c>
      <c r="G1922" s="180">
        <f>+H1919</f>
        <v>9108</v>
      </c>
      <c r="H1922" s="418" t="s">
        <v>1102</v>
      </c>
      <c r="I1922" s="418"/>
      <c r="J1922" s="24">
        <v>1.02</v>
      </c>
      <c r="K1922" s="416">
        <f>+E1922/G1922*J1922*1</f>
        <v>14.782608695652174</v>
      </c>
      <c r="L1922" s="24" t="s">
        <v>8</v>
      </c>
      <c r="M1922" s="1146"/>
      <c r="N1922" s="1103"/>
      <c r="O1922"/>
      <c r="P1922" s="159"/>
      <c r="Q1922" s="147"/>
      <c r="R1922" s="149"/>
    </row>
    <row r="1923" spans="1:24" ht="30" customHeight="1">
      <c r="A1923" s="24" t="s">
        <v>461</v>
      </c>
      <c r="B1923" s="1162" t="s">
        <v>463</v>
      </c>
      <c r="C1923" s="1163"/>
      <c r="D1923" s="1164"/>
      <c r="E1923" s="14">
        <f>+(22.2+44.75)/2</f>
        <v>33.475000000000001</v>
      </c>
      <c r="F1923" s="541" t="s">
        <v>6</v>
      </c>
      <c r="G1923" s="180">
        <f>260/H1919</f>
        <v>2.854633289415898E-2</v>
      </c>
      <c r="H1923" s="418" t="s">
        <v>1272</v>
      </c>
      <c r="I1923" s="418"/>
      <c r="J1923" s="24">
        <v>1.07</v>
      </c>
      <c r="K1923" s="416">
        <f>+E1923*G1923*J1923</f>
        <v>1.0224796881862099</v>
      </c>
      <c r="L1923" s="24" t="s">
        <v>8</v>
      </c>
      <c r="M1923" s="1146"/>
      <c r="N1923" s="1103"/>
      <c r="O1923"/>
      <c r="P1923" s="159"/>
      <c r="Q1923" s="147"/>
      <c r="R1923" s="149"/>
    </row>
    <row r="1924" spans="1:24" ht="30" customHeight="1">
      <c r="A1924" s="24" t="s">
        <v>461</v>
      </c>
      <c r="B1924" s="1162" t="s">
        <v>1273</v>
      </c>
      <c r="C1924" s="1163"/>
      <c r="D1924" s="1164"/>
      <c r="E1924" s="115">
        <f>+(228+250)/2</f>
        <v>239</v>
      </c>
      <c r="F1924" s="541" t="s">
        <v>6</v>
      </c>
      <c r="G1924" s="180">
        <f>260/H1919</f>
        <v>2.854633289415898E-2</v>
      </c>
      <c r="H1924" s="418" t="s">
        <v>1272</v>
      </c>
      <c r="I1924" s="418"/>
      <c r="J1924" s="24">
        <v>1.07</v>
      </c>
      <c r="K1924" s="416">
        <f>+E1924*G1924*J1924</f>
        <v>7.3001537110232766</v>
      </c>
      <c r="L1924" s="24" t="s">
        <v>8</v>
      </c>
      <c r="M1924" s="1146"/>
      <c r="N1924" s="1103"/>
      <c r="O1924"/>
      <c r="P1924" s="159"/>
      <c r="Q1924" s="147"/>
      <c r="R1924" s="149"/>
    </row>
    <row r="1925" spans="1:24" ht="30" customHeight="1">
      <c r="A1925" s="24" t="s">
        <v>395</v>
      </c>
      <c r="B1925" s="1439" t="s">
        <v>2718</v>
      </c>
      <c r="C1925" s="1440"/>
      <c r="D1925" s="1441"/>
      <c r="E1925" s="416">
        <v>23.88</v>
      </c>
      <c r="F1925" s="541" t="s">
        <v>8</v>
      </c>
      <c r="G1925" s="564">
        <v>81</v>
      </c>
      <c r="H1925" s="539" t="s">
        <v>1239</v>
      </c>
      <c r="I1925" s="540">
        <f t="shared" ref="I1925:I1930" si="45">+E1925*G1925/$H$1919</f>
        <v>0.21237154150197629</v>
      </c>
      <c r="J1925" s="24">
        <v>1.06</v>
      </c>
      <c r="K1925" s="416">
        <f t="shared" ref="K1925:K1930" si="46">+I1925*J1925</f>
        <v>0.22511383399209489</v>
      </c>
      <c r="L1925" s="24" t="s">
        <v>8</v>
      </c>
      <c r="M1925" s="1146"/>
      <c r="N1925" s="1103"/>
      <c r="O1925"/>
      <c r="P1925" s="159"/>
      <c r="Q1925" s="147"/>
      <c r="R1925" s="149"/>
      <c r="T1925" s="38"/>
      <c r="U1925" s="38"/>
      <c r="V1925" s="38"/>
      <c r="W1925" s="38"/>
      <c r="X1925" s="38"/>
    </row>
    <row r="1926" spans="1:24" s="38" customFormat="1" ht="30" customHeight="1">
      <c r="A1926" s="24" t="s">
        <v>395</v>
      </c>
      <c r="B1926" s="1439" t="s">
        <v>1223</v>
      </c>
      <c r="C1926" s="1440"/>
      <c r="D1926" s="1441"/>
      <c r="E1926" s="416">
        <v>1905</v>
      </c>
      <c r="F1926" s="541" t="s">
        <v>10</v>
      </c>
      <c r="G1926" s="564">
        <v>1</v>
      </c>
      <c r="H1926" s="539"/>
      <c r="I1926" s="540">
        <f t="shared" si="45"/>
        <v>0.20915678524374176</v>
      </c>
      <c r="J1926" s="24">
        <v>1.06</v>
      </c>
      <c r="K1926" s="416">
        <f t="shared" si="46"/>
        <v>0.22170619235836628</v>
      </c>
      <c r="L1926" s="24" t="s">
        <v>8</v>
      </c>
      <c r="M1926" s="1146"/>
      <c r="N1926" s="1103"/>
      <c r="P1926" s="159"/>
      <c r="Q1926" s="147"/>
      <c r="R1926" s="149"/>
      <c r="T1926"/>
      <c r="U1926"/>
      <c r="V1926"/>
      <c r="W1926"/>
      <c r="X1926"/>
    </row>
    <row r="1927" spans="1:24" ht="30" customHeight="1">
      <c r="A1927" s="24" t="s">
        <v>398</v>
      </c>
      <c r="B1927" s="1439" t="s">
        <v>2717</v>
      </c>
      <c r="C1927" s="1440"/>
      <c r="D1927" s="1441"/>
      <c r="E1927" s="416">
        <f>(31.5+75)/2</f>
        <v>53.25</v>
      </c>
      <c r="F1927" s="541" t="s">
        <v>6</v>
      </c>
      <c r="G1927" s="564">
        <v>10</v>
      </c>
      <c r="H1927" s="539"/>
      <c r="I1927" s="540">
        <f t="shared" si="45"/>
        <v>5.846508563899868E-2</v>
      </c>
      <c r="J1927" s="24">
        <v>1.04</v>
      </c>
      <c r="K1927" s="416">
        <f t="shared" si="46"/>
        <v>6.080368906455863E-2</v>
      </c>
      <c r="L1927" s="24" t="s">
        <v>8</v>
      </c>
      <c r="M1927" s="1146"/>
      <c r="N1927" s="1103"/>
      <c r="O1927"/>
      <c r="P1927" s="159"/>
      <c r="Q1927" s="147"/>
      <c r="R1927" s="149"/>
    </row>
    <row r="1928" spans="1:24" ht="30" customHeight="1">
      <c r="A1928" s="24" t="s">
        <v>398</v>
      </c>
      <c r="B1928" s="1439" t="s">
        <v>401</v>
      </c>
      <c r="C1928" s="1440"/>
      <c r="D1928" s="1441"/>
      <c r="E1928" s="416">
        <v>8600</v>
      </c>
      <c r="F1928" s="541" t="s">
        <v>10</v>
      </c>
      <c r="G1928" s="564">
        <v>1</v>
      </c>
      <c r="H1928" s="539"/>
      <c r="I1928" s="540">
        <f t="shared" si="45"/>
        <v>0.94422485726833549</v>
      </c>
      <c r="J1928" s="24">
        <v>1.04</v>
      </c>
      <c r="K1928" s="416">
        <f t="shared" si="46"/>
        <v>0.98199385155906893</v>
      </c>
      <c r="L1928" s="24" t="s">
        <v>8</v>
      </c>
      <c r="M1928" s="1146"/>
      <c r="N1928" s="1103"/>
      <c r="O1928"/>
      <c r="P1928" s="159"/>
      <c r="Q1928" s="147"/>
      <c r="R1928" s="149"/>
    </row>
    <row r="1929" spans="1:24" ht="30" customHeight="1">
      <c r="A1929" s="24" t="s">
        <v>398</v>
      </c>
      <c r="B1929" s="1439" t="s">
        <v>1274</v>
      </c>
      <c r="C1929" s="1440"/>
      <c r="D1929" s="1441"/>
      <c r="E1929" s="416">
        <v>765</v>
      </c>
      <c r="F1929" s="541" t="s">
        <v>10</v>
      </c>
      <c r="G1929" s="564">
        <v>1</v>
      </c>
      <c r="H1929" s="539"/>
      <c r="I1929" s="540">
        <f t="shared" si="45"/>
        <v>8.399209486166008E-2</v>
      </c>
      <c r="J1929" s="24">
        <v>1.04</v>
      </c>
      <c r="K1929" s="416">
        <f t="shared" si="46"/>
        <v>8.7351778656126491E-2</v>
      </c>
      <c r="L1929" s="24" t="s">
        <v>8</v>
      </c>
      <c r="M1929" s="1146"/>
      <c r="N1929" s="1103"/>
      <c r="O1929"/>
      <c r="P1929" s="159"/>
      <c r="Q1929" s="147"/>
      <c r="R1929" s="149"/>
    </row>
    <row r="1930" spans="1:24" ht="30" customHeight="1">
      <c r="A1930" s="10" t="s">
        <v>398</v>
      </c>
      <c r="B1930" s="1162" t="s">
        <v>403</v>
      </c>
      <c r="C1930" s="1163"/>
      <c r="D1930" s="1164"/>
      <c r="E1930" s="115">
        <f>+(1060+3175)/2</f>
        <v>2117.5</v>
      </c>
      <c r="F1930" s="401" t="s">
        <v>10</v>
      </c>
      <c r="G1930" s="172">
        <v>1</v>
      </c>
      <c r="H1930" s="439"/>
      <c r="I1930" s="453">
        <f t="shared" si="45"/>
        <v>0.23248792270531402</v>
      </c>
      <c r="J1930" s="10">
        <v>1.04</v>
      </c>
      <c r="K1930" s="115">
        <f t="shared" si="46"/>
        <v>0.24178743961352658</v>
      </c>
      <c r="L1930" s="10" t="s">
        <v>8</v>
      </c>
      <c r="M1930" s="1146"/>
      <c r="N1930" s="1103"/>
      <c r="O1930"/>
      <c r="P1930" s="159"/>
      <c r="Q1930" s="147"/>
      <c r="R1930" s="149"/>
    </row>
    <row r="1931" spans="1:24" ht="30" customHeight="1">
      <c r="A1931" s="10" t="s">
        <v>377</v>
      </c>
      <c r="B1931" s="1182" t="s">
        <v>1275</v>
      </c>
      <c r="C1931" s="1183"/>
      <c r="D1931" s="1183"/>
      <c r="E1931" s="115">
        <v>3.06</v>
      </c>
      <c r="F1931" s="401" t="s">
        <v>8</v>
      </c>
      <c r="G1931" s="452"/>
      <c r="H1931" s="439"/>
      <c r="I1931" s="439"/>
      <c r="J1931" s="10">
        <v>1.05</v>
      </c>
      <c r="K1931" s="115">
        <f>+E1931*J1931</f>
        <v>3.2130000000000001</v>
      </c>
      <c r="L1931" s="10" t="s">
        <v>8</v>
      </c>
      <c r="M1931" s="1146"/>
      <c r="N1931" s="1103"/>
      <c r="O1931"/>
      <c r="P1931" s="159"/>
      <c r="Q1931" s="147"/>
      <c r="R1931" s="149"/>
    </row>
    <row r="1932" spans="1:24" ht="30" customHeight="1">
      <c r="A1932" s="10" t="s">
        <v>377</v>
      </c>
      <c r="B1932" s="1162" t="s">
        <v>1276</v>
      </c>
      <c r="C1932" s="1163"/>
      <c r="D1932" s="1164"/>
      <c r="E1932" s="115">
        <f>0.15*E1931</f>
        <v>0.45899999999999996</v>
      </c>
      <c r="F1932" s="401" t="s">
        <v>8</v>
      </c>
      <c r="G1932" s="452"/>
      <c r="H1932" s="439"/>
      <c r="I1932" s="439"/>
      <c r="J1932" s="10">
        <v>1.05</v>
      </c>
      <c r="K1932" s="115">
        <f>+E1932*J1932</f>
        <v>0.48194999999999999</v>
      </c>
      <c r="L1932" s="10" t="s">
        <v>8</v>
      </c>
      <c r="M1932" s="1146"/>
      <c r="N1932" s="1103"/>
      <c r="O1932"/>
      <c r="P1932" s="159"/>
      <c r="Q1932" s="147"/>
      <c r="R1932" s="149"/>
    </row>
    <row r="1933" spans="1:24" ht="30" customHeight="1">
      <c r="A1933" s="10" t="s">
        <v>377</v>
      </c>
      <c r="B1933" s="1162" t="s">
        <v>987</v>
      </c>
      <c r="C1933" s="1163"/>
      <c r="D1933" s="1164"/>
      <c r="E1933" s="14">
        <f xml:space="preserve"> 0.53+((1.06+1.57)/2)</f>
        <v>1.845</v>
      </c>
      <c r="F1933" s="401" t="s">
        <v>8</v>
      </c>
      <c r="G1933" s="452"/>
      <c r="H1933" s="439"/>
      <c r="I1933" s="439"/>
      <c r="J1933" s="10">
        <v>1.05</v>
      </c>
      <c r="K1933" s="115">
        <f>+E1933*J1933</f>
        <v>1.9372500000000001</v>
      </c>
      <c r="L1933" s="10" t="s">
        <v>8</v>
      </c>
      <c r="M1933" s="1146"/>
      <c r="N1933" s="282"/>
      <c r="O1933" s="34"/>
      <c r="P1933" s="283"/>
      <c r="Q1933" s="282"/>
      <c r="R1933" s="284"/>
    </row>
    <row r="1934" spans="1:24" ht="30" customHeight="1">
      <c r="A1934" s="10"/>
      <c r="B1934" s="1375"/>
      <c r="C1934" s="1375"/>
      <c r="D1934" s="1375"/>
      <c r="E1934" s="115"/>
      <c r="F1934" s="10"/>
      <c r="G1934" s="402"/>
      <c r="H1934" s="403"/>
      <c r="I1934" s="403"/>
      <c r="J1934" s="10" t="s">
        <v>346</v>
      </c>
      <c r="K1934" s="115">
        <f>SUM(K1921:K1933)</f>
        <v>261.5561988801054</v>
      </c>
      <c r="L1934" s="10" t="s">
        <v>8</v>
      </c>
      <c r="M1934" s="1146"/>
      <c r="N1934" s="282"/>
      <c r="O1934" s="34"/>
      <c r="P1934" s="283"/>
      <c r="Q1934" s="282"/>
      <c r="R1934" s="284"/>
    </row>
    <row r="1935" spans="1:24" ht="30" customHeight="1">
      <c r="A1935" s="20"/>
      <c r="B1935" s="157"/>
      <c r="C1935" s="157"/>
      <c r="D1935" s="157"/>
      <c r="E1935" s="157"/>
      <c r="F1935" s="1174" t="s">
        <v>308</v>
      </c>
      <c r="G1935" s="1208" t="s">
        <v>309</v>
      </c>
      <c r="H1935" s="1208"/>
      <c r="I1935" s="1208"/>
      <c r="J1935" s="1208"/>
      <c r="K1935" s="123">
        <f>(1.06+1.08)/2</f>
        <v>1.07</v>
      </c>
      <c r="L1935" s="10"/>
      <c r="M1935" s="1146"/>
      <c r="N1935" s="1103"/>
      <c r="O1935"/>
      <c r="P1935" s="159"/>
      <c r="Q1935" s="147"/>
      <c r="R1935" s="149"/>
    </row>
    <row r="1936" spans="1:24" ht="30" customHeight="1">
      <c r="A1936" s="20"/>
      <c r="B1936" s="157"/>
      <c r="C1936" s="157"/>
      <c r="D1936" s="157"/>
      <c r="E1936" s="157"/>
      <c r="F1936" s="1175"/>
      <c r="G1936" s="1209" t="s">
        <v>310</v>
      </c>
      <c r="H1936" s="1209"/>
      <c r="I1936" s="1209"/>
      <c r="J1936" s="1209"/>
      <c r="K1936" s="123">
        <v>1.07</v>
      </c>
      <c r="L1936" s="10"/>
      <c r="M1936" s="1146"/>
      <c r="N1936" s="1103"/>
      <c r="O1936"/>
      <c r="P1936" s="159"/>
      <c r="Q1936" s="147"/>
      <c r="R1936" s="149"/>
    </row>
    <row r="1937" spans="1:24" ht="30" customHeight="1">
      <c r="A1937" s="10"/>
      <c r="B1937" s="10"/>
      <c r="C1937" s="13"/>
      <c r="D1937" s="13"/>
      <c r="E1937" s="13"/>
      <c r="F1937" s="13"/>
      <c r="G1937" s="13"/>
      <c r="H1937" s="13"/>
      <c r="I1937" s="13"/>
      <c r="J1937" s="10" t="s">
        <v>289</v>
      </c>
      <c r="K1937" s="14">
        <f>+K1934*K1935/K1936</f>
        <v>261.5561988801054</v>
      </c>
      <c r="L1937" s="10" t="s">
        <v>8</v>
      </c>
      <c r="M1937" s="1146"/>
      <c r="N1937" s="1103"/>
      <c r="O1937"/>
      <c r="P1937" s="159"/>
      <c r="Q1937" s="147"/>
      <c r="R1937" s="149"/>
    </row>
    <row r="1938" spans="1:24" ht="30" customHeight="1">
      <c r="A1938" s="10"/>
      <c r="B1938" s="10"/>
      <c r="C1938" s="13"/>
      <c r="D1938" s="13"/>
      <c r="E1938" s="13"/>
      <c r="F1938" s="226"/>
      <c r="G1938" s="13"/>
      <c r="H1938" s="13"/>
      <c r="I1938" s="461" t="s">
        <v>385</v>
      </c>
      <c r="J1938" s="139">
        <f>VLOOKUP(B1919,'Mil Cost Premiums for RUCs'!$A$4:$R$266,18,FALSE)</f>
        <v>1.2969309498325658</v>
      </c>
      <c r="K1938" s="14">
        <f>+K1937*J1938</f>
        <v>339.22032944817062</v>
      </c>
      <c r="L1938" s="10" t="s">
        <v>8</v>
      </c>
      <c r="M1938" s="1146"/>
      <c r="N1938" s="1103"/>
      <c r="O1938"/>
      <c r="P1938" s="159"/>
      <c r="Q1938" s="147"/>
      <c r="R1938" s="149"/>
      <c r="T1938" s="38"/>
      <c r="U1938" s="38"/>
      <c r="V1938" s="38"/>
      <c r="W1938" s="38"/>
      <c r="X1938" s="38"/>
    </row>
    <row r="1939" spans="1:24" s="38" customFormat="1" ht="60" customHeight="1">
      <c r="A1939" s="1336" t="s">
        <v>1277</v>
      </c>
      <c r="B1939" s="1315"/>
      <c r="C1939" s="1315"/>
      <c r="D1939" s="1315"/>
      <c r="E1939" s="1315"/>
      <c r="F1939" s="1315"/>
      <c r="G1939" s="1315"/>
      <c r="H1939" s="1315"/>
      <c r="I1939" s="1315"/>
      <c r="J1939" s="1315"/>
      <c r="K1939" s="1315"/>
      <c r="L1939" s="1316"/>
      <c r="M1939" s="1146"/>
      <c r="N1939" s="1103"/>
      <c r="P1939" s="159"/>
      <c r="Q1939" s="147"/>
      <c r="R1939" s="149"/>
      <c r="T1939"/>
      <c r="U1939"/>
      <c r="V1939"/>
      <c r="W1939"/>
      <c r="X1939"/>
    </row>
    <row r="1940" spans="1:24" ht="30" customHeight="1">
      <c r="A1940" s="1513" t="s">
        <v>314</v>
      </c>
      <c r="B1940" s="1514"/>
      <c r="C1940" s="1515"/>
      <c r="D1940" s="1270" t="s">
        <v>1243</v>
      </c>
      <c r="E1940" s="1371"/>
      <c r="F1940" s="1371"/>
      <c r="G1940" s="1371"/>
      <c r="H1940" s="1371"/>
      <c r="I1940" s="1371"/>
      <c r="J1940" s="1371"/>
      <c r="K1940" s="1371"/>
      <c r="L1940" s="1372"/>
      <c r="M1940" s="1146"/>
      <c r="N1940" s="1103"/>
      <c r="O1940"/>
      <c r="P1940" s="159"/>
      <c r="Q1940" s="147"/>
      <c r="R1940" s="149"/>
    </row>
    <row r="1941" spans="1:24" ht="45" customHeight="1">
      <c r="A1941" s="1513" t="s">
        <v>316</v>
      </c>
      <c r="B1941" s="1514"/>
      <c r="C1941" s="1515"/>
      <c r="D1941" s="1270" t="s">
        <v>1278</v>
      </c>
      <c r="E1941" s="1371"/>
      <c r="F1941" s="1371"/>
      <c r="G1941" s="1371"/>
      <c r="H1941" s="1371"/>
      <c r="I1941" s="1371"/>
      <c r="J1941" s="1371"/>
      <c r="K1941" s="1371"/>
      <c r="L1941" s="1372"/>
      <c r="M1941" s="1146"/>
      <c r="N1941" s="1103"/>
      <c r="O1941"/>
      <c r="P1941" s="159"/>
      <c r="Q1941" s="147"/>
      <c r="R1941" s="149"/>
    </row>
    <row r="1942" spans="1:24" ht="30" customHeight="1">
      <c r="A1942" s="1513" t="s">
        <v>317</v>
      </c>
      <c r="B1942" s="1514"/>
      <c r="C1942" s="1515"/>
      <c r="D1942" s="1270" t="s">
        <v>1279</v>
      </c>
      <c r="E1942" s="1371"/>
      <c r="F1942" s="1371"/>
      <c r="G1942" s="1371"/>
      <c r="H1942" s="1371"/>
      <c r="I1942" s="1371"/>
      <c r="J1942" s="1371"/>
      <c r="K1942" s="1371"/>
      <c r="L1942" s="1372"/>
      <c r="M1942" s="1146"/>
      <c r="N1942" s="1103"/>
      <c r="O1942"/>
      <c r="P1942" s="159"/>
      <c r="Q1942" s="147"/>
      <c r="R1942" s="149"/>
    </row>
    <row r="1943" spans="1:24" ht="45" customHeight="1">
      <c r="A1943" s="1516" t="s">
        <v>318</v>
      </c>
      <c r="B1943" s="1517"/>
      <c r="C1943" s="1518"/>
      <c r="D1943" s="1270" t="s">
        <v>1280</v>
      </c>
      <c r="E1943" s="1371"/>
      <c r="F1943" s="1371"/>
      <c r="G1943" s="1371"/>
      <c r="H1943" s="1371"/>
      <c r="I1943" s="1371"/>
      <c r="J1943" s="1371"/>
      <c r="K1943" s="1371"/>
      <c r="L1943" s="1372"/>
      <c r="M1943" s="1146"/>
      <c r="N1943" s="1103"/>
      <c r="O1943"/>
      <c r="P1943" s="159"/>
      <c r="Q1943" s="147"/>
      <c r="R1943" s="149"/>
    </row>
    <row r="1944" spans="1:24" ht="90" customHeight="1">
      <c r="A1944" s="1516" t="s">
        <v>320</v>
      </c>
      <c r="B1944" s="1517"/>
      <c r="C1944" s="1518"/>
      <c r="D1944" s="1270" t="s">
        <v>1281</v>
      </c>
      <c r="E1944" s="1371"/>
      <c r="F1944" s="1371"/>
      <c r="G1944" s="1371"/>
      <c r="H1944" s="1371"/>
      <c r="I1944" s="1371"/>
      <c r="J1944" s="1371"/>
      <c r="K1944" s="1371"/>
      <c r="L1944" s="1372"/>
      <c r="M1944" s="1146"/>
      <c r="N1944" s="282"/>
      <c r="O1944" s="34"/>
      <c r="P1944" s="283"/>
      <c r="Q1944" s="282"/>
      <c r="R1944" s="284"/>
    </row>
    <row r="1945" spans="1:24" ht="30" customHeight="1">
      <c r="A1945" s="1516" t="s">
        <v>322</v>
      </c>
      <c r="B1945" s="1517"/>
      <c r="C1945" s="1518"/>
      <c r="D1945" s="1270" t="s">
        <v>2899</v>
      </c>
      <c r="E1945" s="1371"/>
      <c r="F1945" s="1371"/>
      <c r="G1945" s="1371"/>
      <c r="H1945" s="1371"/>
      <c r="I1945" s="1371"/>
      <c r="J1945" s="1371"/>
      <c r="K1945" s="1371"/>
      <c r="L1945" s="1372"/>
      <c r="M1945" s="1146"/>
      <c r="N1945" s="282"/>
      <c r="O1945" s="34"/>
      <c r="P1945" s="283"/>
      <c r="Q1945" s="282"/>
      <c r="R1945" s="284"/>
    </row>
    <row r="1946" spans="1:24" ht="30" customHeight="1">
      <c r="A1946" s="1516" t="s">
        <v>324</v>
      </c>
      <c r="B1946" s="1517"/>
      <c r="C1946" s="1518"/>
      <c r="D1946" s="1270" t="s">
        <v>1196</v>
      </c>
      <c r="E1946" s="1371"/>
      <c r="F1946" s="1371"/>
      <c r="G1946" s="1371"/>
      <c r="H1946" s="1371"/>
      <c r="I1946" s="1371"/>
      <c r="J1946" s="1371"/>
      <c r="K1946" s="1371"/>
      <c r="L1946" s="1372"/>
      <c r="M1946" s="1146"/>
      <c r="N1946" s="1103"/>
      <c r="O1946"/>
      <c r="P1946" s="159"/>
      <c r="Q1946" s="147"/>
      <c r="R1946" s="149"/>
    </row>
    <row r="1947" spans="1:24" ht="75" customHeight="1">
      <c r="A1947" s="1516" t="s">
        <v>325</v>
      </c>
      <c r="B1947" s="1517"/>
      <c r="C1947" s="1518"/>
      <c r="D1947" s="1270" t="s">
        <v>391</v>
      </c>
      <c r="E1947" s="1371"/>
      <c r="F1947" s="1371"/>
      <c r="G1947" s="1371"/>
      <c r="H1947" s="1371"/>
      <c r="I1947" s="1371"/>
      <c r="J1947" s="1371"/>
      <c r="K1947" s="1371"/>
      <c r="L1947" s="1372"/>
      <c r="M1947" s="1146"/>
      <c r="N1947" s="1103"/>
      <c r="O1947"/>
      <c r="P1947" s="159"/>
      <c r="Q1947" s="147"/>
      <c r="R1947" s="149"/>
    </row>
    <row r="1948" spans="1:24" ht="45" customHeight="1" thickBot="1">
      <c r="A1948" s="1458" t="s">
        <v>327</v>
      </c>
      <c r="B1948" s="1459"/>
      <c r="C1948" s="1580"/>
      <c r="D1948" s="1501" t="s">
        <v>1260</v>
      </c>
      <c r="E1948" s="1502"/>
      <c r="F1948" s="1502"/>
      <c r="G1948" s="1502"/>
      <c r="H1948" s="1502"/>
      <c r="I1948" s="1502"/>
      <c r="J1948" s="1502"/>
      <c r="K1948" s="1502"/>
      <c r="L1948" s="1503"/>
      <c r="M1948" s="1146"/>
      <c r="N1948" s="1103"/>
      <c r="O1948"/>
      <c r="P1948" s="159"/>
      <c r="Q1948" s="147"/>
      <c r="R1948" s="149"/>
    </row>
    <row r="1949" spans="1:24" ht="30" customHeight="1" thickBot="1">
      <c r="A1949" s="1165"/>
      <c r="B1949" s="1166"/>
      <c r="C1949" s="1166"/>
      <c r="D1949" s="1166"/>
      <c r="E1949" s="1166"/>
      <c r="F1949" s="1166"/>
      <c r="G1949" s="1166"/>
      <c r="H1949" s="1166"/>
      <c r="I1949" s="1166"/>
      <c r="J1949" s="1166"/>
      <c r="K1949" s="1166"/>
      <c r="L1949" s="1167"/>
      <c r="M1949" s="1146"/>
      <c r="N1949" s="55"/>
      <c r="O1949"/>
      <c r="P1949" s="159"/>
      <c r="Q1949" s="147"/>
      <c r="R1949" s="149"/>
      <c r="T1949" s="38"/>
      <c r="U1949" s="38"/>
      <c r="V1949" s="38"/>
      <c r="W1949" s="38"/>
      <c r="X1949" s="38"/>
    </row>
    <row r="1950" spans="1:24" s="38" customFormat="1" ht="30" customHeight="1">
      <c r="A1950" s="108" t="s">
        <v>280</v>
      </c>
      <c r="B1950" s="163">
        <v>3191</v>
      </c>
      <c r="C1950" s="1479" t="s">
        <v>1282</v>
      </c>
      <c r="D1950" s="1479"/>
      <c r="E1950" s="216" t="s">
        <v>282</v>
      </c>
      <c r="F1950" s="217" t="s">
        <v>8</v>
      </c>
      <c r="G1950" s="58" t="s">
        <v>290</v>
      </c>
      <c r="H1950" s="455">
        <v>8975</v>
      </c>
      <c r="I1950" s="110" t="s">
        <v>283</v>
      </c>
      <c r="J1950" s="1578" t="s">
        <v>2529</v>
      </c>
      <c r="K1950" s="1578"/>
      <c r="L1950" s="1579"/>
      <c r="M1950" s="1146"/>
      <c r="N1950" s="55"/>
      <c r="P1950" s="159"/>
      <c r="Q1950" s="147"/>
      <c r="R1950" s="149"/>
      <c r="T1950"/>
      <c r="U1950"/>
      <c r="V1950"/>
      <c r="W1950"/>
      <c r="X1950"/>
    </row>
    <row r="1951" spans="1:24" ht="30" customHeight="1">
      <c r="A1951" s="294" t="s">
        <v>304</v>
      </c>
      <c r="B1951" s="1324" t="s">
        <v>330</v>
      </c>
      <c r="C1951" s="1325"/>
      <c r="D1951" s="1326"/>
      <c r="E1951" s="219" t="s">
        <v>295</v>
      </c>
      <c r="F1951" s="219" t="s">
        <v>331</v>
      </c>
      <c r="G1951" s="1206" t="s">
        <v>332</v>
      </c>
      <c r="H1951" s="1207"/>
      <c r="I1951" s="533" t="s">
        <v>1007</v>
      </c>
      <c r="J1951" s="167" t="s">
        <v>305</v>
      </c>
      <c r="K1951" s="1312" t="s">
        <v>297</v>
      </c>
      <c r="L1951" s="1313"/>
      <c r="M1951" s="1146"/>
      <c r="N1951" s="974"/>
      <c r="O1951"/>
      <c r="P1951" s="159"/>
      <c r="Q1951" s="147"/>
      <c r="R1951" s="149"/>
    </row>
    <row r="1952" spans="1:24" ht="30" customHeight="1">
      <c r="A1952" s="24" t="s">
        <v>980</v>
      </c>
      <c r="B1952" s="1162" t="s">
        <v>1283</v>
      </c>
      <c r="C1952" s="1163"/>
      <c r="D1952" s="1164"/>
      <c r="E1952" s="565">
        <f>90.12-2.42</f>
        <v>87.7</v>
      </c>
      <c r="F1952" s="10" t="s">
        <v>8</v>
      </c>
      <c r="G1952" s="450"/>
      <c r="H1952" s="297"/>
      <c r="I1952" s="566">
        <f>+E1952</f>
        <v>87.7</v>
      </c>
      <c r="J1952" s="24">
        <v>1.05</v>
      </c>
      <c r="K1952" s="567">
        <f t="shared" ref="K1952:K1962" si="47">+I1952*J1952</f>
        <v>92.085000000000008</v>
      </c>
      <c r="L1952" s="390" t="s">
        <v>8</v>
      </c>
      <c r="M1952" s="1146"/>
      <c r="N1952" s="974"/>
      <c r="O1952"/>
      <c r="P1952" s="159"/>
      <c r="Q1952" s="147"/>
      <c r="R1952" s="149"/>
    </row>
    <row r="1953" spans="1:24" ht="30" customHeight="1">
      <c r="A1953" s="24" t="s">
        <v>377</v>
      </c>
      <c r="B1953" s="1162" t="s">
        <v>384</v>
      </c>
      <c r="C1953" s="1163"/>
      <c r="D1953" s="1164"/>
      <c r="E1953" s="568">
        <v>4.01</v>
      </c>
      <c r="F1953" s="10" t="s">
        <v>8</v>
      </c>
      <c r="G1953" s="452"/>
      <c r="H1953" s="439"/>
      <c r="I1953" s="569">
        <f>+E1953</f>
        <v>4.01</v>
      </c>
      <c r="J1953" s="24">
        <v>1.05</v>
      </c>
      <c r="K1953" s="574">
        <f t="shared" si="47"/>
        <v>4.2104999999999997</v>
      </c>
      <c r="L1953" s="390" t="s">
        <v>8</v>
      </c>
      <c r="M1953" s="1146"/>
      <c r="N1953" s="1103"/>
      <c r="O1953"/>
      <c r="P1953" s="159"/>
      <c r="Q1953" s="147"/>
      <c r="R1953" s="149"/>
    </row>
    <row r="1954" spans="1:24" ht="30" customHeight="1">
      <c r="A1954" s="24" t="s">
        <v>461</v>
      </c>
      <c r="B1954" s="1162" t="s">
        <v>1284</v>
      </c>
      <c r="C1954" s="1163"/>
      <c r="D1954" s="1164"/>
      <c r="E1954" s="570">
        <v>132000</v>
      </c>
      <c r="F1954" s="541" t="s">
        <v>10</v>
      </c>
      <c r="G1954" s="571">
        <f>+E1954/H1950</f>
        <v>14.707520891364902</v>
      </c>
      <c r="H1954" s="539" t="s">
        <v>1011</v>
      </c>
      <c r="I1954" s="569">
        <f>+G1954</f>
        <v>14.707520891364902</v>
      </c>
      <c r="J1954" s="24">
        <v>1.07</v>
      </c>
      <c r="K1954" s="574">
        <f t="shared" si="47"/>
        <v>15.737047353760447</v>
      </c>
      <c r="L1954" s="390" t="s">
        <v>8</v>
      </c>
      <c r="M1954" s="1146"/>
      <c r="N1954" s="282"/>
      <c r="O1954" s="34"/>
      <c r="P1954" s="283"/>
      <c r="Q1954" s="282"/>
      <c r="R1954" s="284"/>
    </row>
    <row r="1955" spans="1:24" ht="30" customHeight="1">
      <c r="A1955" s="24" t="s">
        <v>461</v>
      </c>
      <c r="B1955" s="1162" t="s">
        <v>1285</v>
      </c>
      <c r="C1955" s="1163"/>
      <c r="D1955" s="1164"/>
      <c r="E1955" s="570">
        <f>+(228+250)/2</f>
        <v>239</v>
      </c>
      <c r="F1955" s="541" t="s">
        <v>6</v>
      </c>
      <c r="G1955" s="571">
        <f>230*E1955/H1950</f>
        <v>6.1247910863509754</v>
      </c>
      <c r="H1955" s="539" t="s">
        <v>1011</v>
      </c>
      <c r="I1955" s="569">
        <f>+G1955</f>
        <v>6.1247910863509754</v>
      </c>
      <c r="J1955" s="24">
        <v>1.07</v>
      </c>
      <c r="K1955" s="574">
        <f t="shared" si="47"/>
        <v>6.5535264623955438</v>
      </c>
      <c r="L1955" s="390" t="s">
        <v>8</v>
      </c>
      <c r="M1955" s="1146"/>
      <c r="N1955" s="282"/>
      <c r="O1955" s="34"/>
      <c r="P1955" s="283"/>
      <c r="Q1955" s="282"/>
      <c r="R1955" s="284"/>
    </row>
    <row r="1956" spans="1:24" ht="30" customHeight="1">
      <c r="A1956" s="24" t="s">
        <v>461</v>
      </c>
      <c r="B1956" s="1162" t="s">
        <v>463</v>
      </c>
      <c r="C1956" s="1163"/>
      <c r="D1956" s="1164"/>
      <c r="E1956" s="570">
        <f>(22.2+44.75)/2</f>
        <v>33.475000000000001</v>
      </c>
      <c r="F1956" s="541" t="s">
        <v>6</v>
      </c>
      <c r="G1956" s="571">
        <f>230*E1956/H1950</f>
        <v>0.8578551532033426</v>
      </c>
      <c r="H1956" s="539" t="s">
        <v>1011</v>
      </c>
      <c r="I1956" s="569">
        <f>+G1956</f>
        <v>0.8578551532033426</v>
      </c>
      <c r="J1956" s="24">
        <v>1.07</v>
      </c>
      <c r="K1956" s="574">
        <f t="shared" si="47"/>
        <v>0.91790501392757662</v>
      </c>
      <c r="L1956" s="390" t="s">
        <v>8</v>
      </c>
      <c r="M1956" s="1146"/>
      <c r="N1956" s="1103"/>
      <c r="O1956"/>
      <c r="P1956" s="159"/>
      <c r="Q1956" s="147"/>
      <c r="R1956" s="149"/>
    </row>
    <row r="1957" spans="1:24" ht="30" customHeight="1">
      <c r="A1957" s="24" t="s">
        <v>395</v>
      </c>
      <c r="B1957" s="1439" t="s">
        <v>1262</v>
      </c>
      <c r="C1957" s="1440"/>
      <c r="D1957" s="1441"/>
      <c r="E1957" s="570">
        <f>(19.15+29.75)/2</f>
        <v>24.45</v>
      </c>
      <c r="F1957" s="541" t="s">
        <v>8</v>
      </c>
      <c r="G1957" s="572">
        <f>81*E1957</f>
        <v>1980.45</v>
      </c>
      <c r="H1957" s="539"/>
      <c r="I1957" s="569">
        <f>+G1957/H1950</f>
        <v>0.22066295264623956</v>
      </c>
      <c r="J1957" s="24">
        <v>1.06</v>
      </c>
      <c r="K1957" s="574">
        <f t="shared" si="47"/>
        <v>0.23390272980501395</v>
      </c>
      <c r="L1957" s="390" t="s">
        <v>8</v>
      </c>
      <c r="M1957" s="1146"/>
      <c r="N1957" s="1103"/>
      <c r="O1957"/>
      <c r="P1957" s="159"/>
      <c r="Q1957" s="147"/>
      <c r="R1957" s="149"/>
    </row>
    <row r="1958" spans="1:24" ht="30" customHeight="1">
      <c r="A1958" s="24" t="s">
        <v>395</v>
      </c>
      <c r="B1958" s="1439" t="s">
        <v>397</v>
      </c>
      <c r="C1958" s="1440"/>
      <c r="D1958" s="1441"/>
      <c r="E1958" s="570">
        <f>(1610+2280)/2</f>
        <v>1945</v>
      </c>
      <c r="F1958" s="541"/>
      <c r="G1958" s="571">
        <f>+E1958</f>
        <v>1945</v>
      </c>
      <c r="H1958" s="539"/>
      <c r="I1958" s="569">
        <f>+G1958/H1950</f>
        <v>0.21671309192200558</v>
      </c>
      <c r="J1958" s="24">
        <v>1.06</v>
      </c>
      <c r="K1958" s="574">
        <f t="shared" si="47"/>
        <v>0.22971587743732594</v>
      </c>
      <c r="L1958" s="390" t="s">
        <v>8</v>
      </c>
      <c r="M1958" s="1146"/>
      <c r="N1958" s="1103"/>
      <c r="O1958"/>
      <c r="P1958" s="159"/>
      <c r="Q1958" s="147"/>
      <c r="R1958" s="149"/>
    </row>
    <row r="1959" spans="1:24" ht="30" customHeight="1">
      <c r="A1959" s="24" t="s">
        <v>398</v>
      </c>
      <c r="B1959" s="1439" t="s">
        <v>2719</v>
      </c>
      <c r="C1959" s="1440"/>
      <c r="D1959" s="1441"/>
      <c r="E1959" s="570">
        <f>+(31.5+75)/2</f>
        <v>53.25</v>
      </c>
      <c r="F1959" s="541" t="s">
        <v>6</v>
      </c>
      <c r="G1959" s="538">
        <v>10</v>
      </c>
      <c r="H1959" s="539" t="s">
        <v>1150</v>
      </c>
      <c r="I1959" s="569">
        <f>+E1959*G1959/H1950</f>
        <v>5.9331476323119775E-2</v>
      </c>
      <c r="J1959" s="24">
        <v>1.04</v>
      </c>
      <c r="K1959" s="574">
        <f t="shared" si="47"/>
        <v>6.1704735376044567E-2</v>
      </c>
      <c r="L1959" s="390" t="s">
        <v>8</v>
      </c>
      <c r="M1959" s="1146"/>
      <c r="N1959" s="1103"/>
      <c r="O1959"/>
      <c r="P1959" s="159"/>
      <c r="Q1959" s="147"/>
      <c r="R1959" s="149"/>
      <c r="T1959" s="38"/>
      <c r="U1959" s="38"/>
      <c r="V1959" s="38"/>
      <c r="W1959" s="38"/>
      <c r="X1959" s="38"/>
    </row>
    <row r="1960" spans="1:24" s="38" customFormat="1" ht="30" customHeight="1">
      <c r="A1960" s="24" t="s">
        <v>398</v>
      </c>
      <c r="B1960" s="1439" t="s">
        <v>1295</v>
      </c>
      <c r="C1960" s="1440"/>
      <c r="D1960" s="1441"/>
      <c r="E1960" s="570">
        <f>+(5900+11300)/2</f>
        <v>8600</v>
      </c>
      <c r="F1960" s="541" t="s">
        <v>10</v>
      </c>
      <c r="G1960" s="538">
        <v>1</v>
      </c>
      <c r="H1960" s="539" t="s">
        <v>1011</v>
      </c>
      <c r="I1960" s="569">
        <f>+E1960/H1950</f>
        <v>0.95821727019498604</v>
      </c>
      <c r="J1960" s="24">
        <v>1.04</v>
      </c>
      <c r="K1960" s="574">
        <f t="shared" si="47"/>
        <v>0.99654596100278547</v>
      </c>
      <c r="L1960" s="390" t="s">
        <v>8</v>
      </c>
      <c r="M1960" s="1146"/>
      <c r="N1960" s="1103"/>
      <c r="P1960" s="159"/>
      <c r="Q1960" s="147"/>
      <c r="R1960" s="149"/>
      <c r="T1960"/>
      <c r="U1960"/>
      <c r="V1960"/>
      <c r="W1960"/>
      <c r="X1960"/>
    </row>
    <row r="1961" spans="1:24" ht="30" customHeight="1">
      <c r="A1961" s="24" t="s">
        <v>398</v>
      </c>
      <c r="B1961" s="1439" t="s">
        <v>1296</v>
      </c>
      <c r="C1961" s="1440"/>
      <c r="D1961" s="1441"/>
      <c r="E1961" s="573">
        <f>+(605+925)/2</f>
        <v>765</v>
      </c>
      <c r="F1961" s="541" t="s">
        <v>10</v>
      </c>
      <c r="G1961" s="538">
        <v>1</v>
      </c>
      <c r="H1961" s="539" t="s">
        <v>1011</v>
      </c>
      <c r="I1961" s="569">
        <f>+E1961/H1950</f>
        <v>8.5236768802228413E-2</v>
      </c>
      <c r="J1961" s="24">
        <v>1.04</v>
      </c>
      <c r="K1961" s="574">
        <f t="shared" si="47"/>
        <v>8.8646239554317552E-2</v>
      </c>
      <c r="L1961" s="390" t="s">
        <v>8</v>
      </c>
      <c r="M1961" s="1146"/>
      <c r="N1961" s="1103"/>
      <c r="O1961"/>
      <c r="P1961" s="159"/>
      <c r="Q1961" s="147"/>
      <c r="R1961" s="149"/>
    </row>
    <row r="1962" spans="1:24" ht="30" customHeight="1">
      <c r="A1962" s="24" t="s">
        <v>398</v>
      </c>
      <c r="B1962" s="1439" t="s">
        <v>1297</v>
      </c>
      <c r="C1962" s="1440"/>
      <c r="D1962" s="1441"/>
      <c r="E1962" s="570">
        <f>+(1060+3175)/2</f>
        <v>2117.5</v>
      </c>
      <c r="F1962" s="541" t="s">
        <v>10</v>
      </c>
      <c r="G1962" s="538">
        <v>1</v>
      </c>
      <c r="H1962" s="539" t="s">
        <v>1011</v>
      </c>
      <c r="I1962" s="569">
        <f>+E1962/H1950</f>
        <v>0.23593314763231199</v>
      </c>
      <c r="J1962" s="24">
        <v>1.04</v>
      </c>
      <c r="K1962" s="574">
        <f t="shared" si="47"/>
        <v>0.24537047353760447</v>
      </c>
      <c r="L1962" s="390" t="s">
        <v>8</v>
      </c>
      <c r="M1962" s="1146"/>
      <c r="N1962" s="1103"/>
      <c r="O1962"/>
      <c r="P1962" s="159"/>
      <c r="Q1962" s="147"/>
      <c r="R1962" s="149"/>
      <c r="T1962" s="149"/>
    </row>
    <row r="1963" spans="1:24" ht="30" customHeight="1">
      <c r="A1963" s="24"/>
      <c r="B1963" s="1340"/>
      <c r="C1963" s="1340"/>
      <c r="D1963" s="1340"/>
      <c r="E1963" s="416"/>
      <c r="F1963" s="544"/>
      <c r="G1963" s="418"/>
      <c r="H1963" s="418"/>
      <c r="I1963" s="24"/>
      <c r="J1963" s="24" t="s">
        <v>379</v>
      </c>
      <c r="K1963" s="574">
        <f>SUM(K1952:K1962)</f>
        <v>121.35986484679665</v>
      </c>
      <c r="L1963" s="390" t="s">
        <v>8</v>
      </c>
      <c r="M1963" s="1146"/>
      <c r="O1963" s="370"/>
      <c r="P1963" s="147"/>
    </row>
    <row r="1964" spans="1:24" ht="30" customHeight="1">
      <c r="A1964" s="45"/>
      <c r="B1964" s="189"/>
      <c r="C1964" s="189"/>
      <c r="D1964" s="189"/>
      <c r="E1964" s="189"/>
      <c r="F1964" s="1367" t="s">
        <v>308</v>
      </c>
      <c r="G1964" s="1369" t="s">
        <v>309</v>
      </c>
      <c r="H1964" s="1369"/>
      <c r="I1964" s="1369"/>
      <c r="J1964" s="1369"/>
      <c r="K1964" s="415">
        <v>1.08</v>
      </c>
      <c r="L1964" s="24"/>
      <c r="M1964" s="1146"/>
      <c r="N1964" s="1103"/>
      <c r="O1964"/>
      <c r="P1964" s="159"/>
      <c r="Q1964" s="147"/>
      <c r="R1964" s="149"/>
    </row>
    <row r="1965" spans="1:24" ht="30" customHeight="1">
      <c r="A1965" s="45"/>
      <c r="B1965" s="189"/>
      <c r="C1965" s="189"/>
      <c r="D1965" s="189"/>
      <c r="E1965" s="189"/>
      <c r="F1965" s="1368"/>
      <c r="G1965" s="1370" t="s">
        <v>310</v>
      </c>
      <c r="H1965" s="1370"/>
      <c r="I1965" s="1370"/>
      <c r="J1965" s="1370"/>
      <c r="K1965" s="123">
        <v>1.07</v>
      </c>
      <c r="L1965" s="24"/>
      <c r="M1965" s="1146"/>
      <c r="N1965" s="1103"/>
      <c r="O1965"/>
      <c r="P1965" s="159"/>
      <c r="Q1965" s="147"/>
      <c r="R1965" s="149"/>
    </row>
    <row r="1966" spans="1:24" ht="30" customHeight="1">
      <c r="A1966" s="545"/>
      <c r="B1966" s="575"/>
      <c r="C1966" s="575"/>
      <c r="D1966" s="575"/>
      <c r="E1966" s="575"/>
      <c r="F1966" s="575"/>
      <c r="G1966" s="575"/>
      <c r="H1966" s="47"/>
      <c r="I1966" s="47"/>
      <c r="J1966" s="47" t="s">
        <v>289</v>
      </c>
      <c r="K1966" s="576">
        <f>+K1963*K1964/K1965</f>
        <v>122.49406919115924</v>
      </c>
      <c r="L1966" s="390" t="s">
        <v>8</v>
      </c>
      <c r="M1966" s="1146"/>
      <c r="N1966" s="1103"/>
      <c r="O1966"/>
      <c r="P1966" s="159"/>
      <c r="Q1966" s="147"/>
      <c r="R1966" s="149"/>
    </row>
    <row r="1967" spans="1:24" ht="30" customHeight="1">
      <c r="A1967" s="545"/>
      <c r="B1967" s="577"/>
      <c r="C1967" s="577"/>
      <c r="D1967" s="577"/>
      <c r="E1967" s="577"/>
      <c r="G1967" s="577"/>
      <c r="H1967" s="47"/>
      <c r="I1967" s="554" t="s">
        <v>385</v>
      </c>
      <c r="J1967" s="178">
        <f>VLOOKUP(B1950,'Mil Cost Premiums for RUCs'!$A$4:$R$266,18,FALSE)</f>
        <v>1.3319480854780448</v>
      </c>
      <c r="K1967" s="576">
        <f>+K1966*J1967</f>
        <v>163.15574094157969</v>
      </c>
      <c r="L1967" s="390" t="s">
        <v>8</v>
      </c>
      <c r="M1967" s="1146"/>
      <c r="N1967" s="282"/>
      <c r="O1967" s="34"/>
      <c r="P1967" s="283"/>
      <c r="Q1967" s="282"/>
      <c r="R1967" s="284"/>
    </row>
    <row r="1968" spans="1:24" ht="60" customHeight="1">
      <c r="A1968" s="1337" t="s">
        <v>313</v>
      </c>
      <c r="B1968" s="1338"/>
      <c r="C1968" s="1338"/>
      <c r="D1968" s="1338"/>
      <c r="E1968" s="1338"/>
      <c r="F1968" s="1338"/>
      <c r="G1968" s="1338"/>
      <c r="H1968" s="1338"/>
      <c r="I1968" s="1338"/>
      <c r="J1968" s="1338"/>
      <c r="K1968" s="1338"/>
      <c r="L1968" s="1339"/>
      <c r="M1968" s="1146"/>
      <c r="N1968" s="282"/>
      <c r="O1968" s="34"/>
      <c r="P1968" s="283"/>
      <c r="Q1968" s="282"/>
      <c r="R1968" s="284"/>
    </row>
    <row r="1969" spans="1:24" ht="30" customHeight="1">
      <c r="A1969" s="1516" t="s">
        <v>314</v>
      </c>
      <c r="B1969" s="1517"/>
      <c r="C1969" s="1518"/>
      <c r="D1969" s="1270" t="s">
        <v>1286</v>
      </c>
      <c r="E1969" s="1371"/>
      <c r="F1969" s="1371"/>
      <c r="G1969" s="1371"/>
      <c r="H1969" s="1371"/>
      <c r="I1969" s="1371"/>
      <c r="J1969" s="1371"/>
      <c r="K1969" s="1371"/>
      <c r="L1969" s="1372"/>
      <c r="M1969" s="1146"/>
      <c r="N1969" s="1103"/>
      <c r="O1969"/>
      <c r="P1969" s="159"/>
      <c r="Q1969" s="147"/>
      <c r="R1969" s="149"/>
    </row>
    <row r="1970" spans="1:24" ht="30" customHeight="1">
      <c r="A1970" s="1516" t="s">
        <v>316</v>
      </c>
      <c r="B1970" s="1517"/>
      <c r="C1970" s="1518"/>
      <c r="D1970" s="1332" t="s">
        <v>1287</v>
      </c>
      <c r="E1970" s="1332"/>
      <c r="F1970" s="1332"/>
      <c r="G1970" s="1332"/>
      <c r="H1970" s="1332"/>
      <c r="I1970" s="1332"/>
      <c r="J1970" s="1332"/>
      <c r="K1970" s="1332"/>
      <c r="L1970" s="1332"/>
      <c r="M1970" s="1146"/>
      <c r="N1970" s="1103"/>
      <c r="O1970"/>
      <c r="P1970" s="159"/>
      <c r="Q1970" s="147"/>
      <c r="R1970" s="149"/>
    </row>
    <row r="1971" spans="1:24" ht="30" customHeight="1">
      <c r="A1971" s="1516" t="s">
        <v>317</v>
      </c>
      <c r="B1971" s="1517"/>
      <c r="C1971" s="1518"/>
      <c r="D1971" s="1332" t="s">
        <v>1288</v>
      </c>
      <c r="E1971" s="1332"/>
      <c r="F1971" s="1332"/>
      <c r="G1971" s="1332"/>
      <c r="H1971" s="1332"/>
      <c r="I1971" s="1332"/>
      <c r="J1971" s="1332"/>
      <c r="K1971" s="1332"/>
      <c r="L1971" s="1332"/>
      <c r="M1971" s="1146"/>
      <c r="N1971" s="1103"/>
      <c r="O1971"/>
      <c r="P1971" s="159"/>
      <c r="Q1971" s="147"/>
      <c r="R1971" s="149"/>
    </row>
    <row r="1972" spans="1:24" ht="30" customHeight="1">
      <c r="A1972" s="1516" t="s">
        <v>318</v>
      </c>
      <c r="B1972" s="1517"/>
      <c r="C1972" s="1518"/>
      <c r="D1972" s="1332" t="s">
        <v>1289</v>
      </c>
      <c r="E1972" s="1332"/>
      <c r="F1972" s="1332"/>
      <c r="G1972" s="1332"/>
      <c r="H1972" s="1332"/>
      <c r="I1972" s="1332"/>
      <c r="J1972" s="1332"/>
      <c r="K1972" s="1332"/>
      <c r="L1972" s="1332"/>
      <c r="M1972" s="1146"/>
      <c r="N1972" s="1103"/>
      <c r="O1972"/>
      <c r="P1972" s="159"/>
      <c r="Q1972" s="147"/>
      <c r="R1972" s="149"/>
      <c r="T1972" s="38"/>
      <c r="U1972" s="38"/>
      <c r="V1972" s="38"/>
      <c r="W1972" s="38"/>
      <c r="X1972" s="38"/>
    </row>
    <row r="1973" spans="1:24" s="38" customFormat="1" ht="60" customHeight="1">
      <c r="A1973" s="1516" t="s">
        <v>320</v>
      </c>
      <c r="B1973" s="1517"/>
      <c r="C1973" s="1518"/>
      <c r="D1973" s="1332" t="s">
        <v>2929</v>
      </c>
      <c r="E1973" s="1332"/>
      <c r="F1973" s="1332"/>
      <c r="G1973" s="1332"/>
      <c r="H1973" s="1332"/>
      <c r="I1973" s="1332"/>
      <c r="J1973" s="1332"/>
      <c r="K1973" s="1332"/>
      <c r="L1973" s="1332"/>
      <c r="M1973" s="1146"/>
      <c r="N1973" s="1103"/>
      <c r="P1973" s="159"/>
      <c r="Q1973" s="147"/>
      <c r="R1973" s="149"/>
      <c r="T1973"/>
      <c r="U1973"/>
      <c r="V1973"/>
      <c r="W1973"/>
      <c r="X1973"/>
    </row>
    <row r="1974" spans="1:24" ht="30" customHeight="1">
      <c r="A1974" s="1516" t="s">
        <v>322</v>
      </c>
      <c r="B1974" s="1517"/>
      <c r="C1974" s="1518"/>
      <c r="D1974" s="1332" t="s">
        <v>1290</v>
      </c>
      <c r="E1974" s="1332"/>
      <c r="F1974" s="1332"/>
      <c r="G1974" s="1332"/>
      <c r="H1974" s="1332"/>
      <c r="I1974" s="1332"/>
      <c r="J1974" s="1332"/>
      <c r="K1974" s="1332"/>
      <c r="L1974" s="1332"/>
      <c r="M1974" s="1146"/>
      <c r="N1974" s="1103"/>
      <c r="O1974"/>
      <c r="P1974" s="159"/>
      <c r="Q1974" s="147"/>
      <c r="R1974" s="149"/>
    </row>
    <row r="1975" spans="1:24" ht="30" customHeight="1">
      <c r="A1975" s="1516" t="s">
        <v>324</v>
      </c>
      <c r="B1975" s="1517"/>
      <c r="C1975" s="1518"/>
      <c r="D1975" s="1332" t="s">
        <v>424</v>
      </c>
      <c r="E1975" s="1332"/>
      <c r="F1975" s="1332"/>
      <c r="G1975" s="1332"/>
      <c r="H1975" s="1332"/>
      <c r="I1975" s="1332"/>
      <c r="J1975" s="1332"/>
      <c r="K1975" s="1332"/>
      <c r="L1975" s="1332"/>
      <c r="M1975" s="1146"/>
      <c r="N1975" s="1103"/>
      <c r="O1975"/>
      <c r="P1975" s="159"/>
      <c r="Q1975" s="147"/>
      <c r="R1975" s="149"/>
    </row>
    <row r="1976" spans="1:24" ht="75" customHeight="1">
      <c r="A1976" s="1516" t="s">
        <v>325</v>
      </c>
      <c r="B1976" s="1517"/>
      <c r="C1976" s="1518"/>
      <c r="D1976" s="1332" t="s">
        <v>391</v>
      </c>
      <c r="E1976" s="1332"/>
      <c r="F1976" s="1332"/>
      <c r="G1976" s="1332"/>
      <c r="H1976" s="1332"/>
      <c r="I1976" s="1332"/>
      <c r="J1976" s="1332"/>
      <c r="K1976" s="1332"/>
      <c r="L1976" s="1332"/>
      <c r="M1976" s="1146"/>
      <c r="N1976" s="1103"/>
      <c r="O1976"/>
      <c r="P1976" s="159"/>
      <c r="Q1976" s="147"/>
      <c r="R1976" s="149"/>
    </row>
    <row r="1977" spans="1:24" ht="45" customHeight="1" thickBot="1">
      <c r="A1977" s="1581" t="s">
        <v>327</v>
      </c>
      <c r="B1977" s="1582"/>
      <c r="C1977" s="1583"/>
      <c r="D1977" s="1566" t="s">
        <v>1291</v>
      </c>
      <c r="E1977" s="1566"/>
      <c r="F1977" s="1566"/>
      <c r="G1977" s="1566"/>
      <c r="H1977" s="1566"/>
      <c r="I1977" s="1566"/>
      <c r="J1977" s="1566"/>
      <c r="K1977" s="1566"/>
      <c r="L1977" s="1566"/>
      <c r="M1977" s="1146"/>
      <c r="N1977" s="1103"/>
      <c r="O1977"/>
      <c r="P1977" s="159"/>
      <c r="Q1977" s="147"/>
      <c r="R1977" s="149"/>
    </row>
    <row r="1978" spans="1:24" ht="30" customHeight="1" thickBot="1">
      <c r="A1978" s="1165"/>
      <c r="B1978" s="1166"/>
      <c r="C1978" s="1166"/>
      <c r="D1978" s="1166"/>
      <c r="E1978" s="1166"/>
      <c r="F1978" s="1166"/>
      <c r="G1978" s="1166"/>
      <c r="H1978" s="1166"/>
      <c r="I1978" s="1166"/>
      <c r="J1978" s="1166"/>
      <c r="K1978" s="1166"/>
      <c r="L1978" s="1167"/>
      <c r="M1978" s="1146"/>
      <c r="N1978" s="1103"/>
      <c r="O1978"/>
      <c r="P1978" s="159"/>
      <c r="Q1978" s="147"/>
      <c r="R1978" s="149"/>
    </row>
    <row r="1979" spans="1:24" ht="30" customHeight="1">
      <c r="A1979" s="1123" t="s">
        <v>280</v>
      </c>
      <c r="B1979" s="1108">
        <v>3201</v>
      </c>
      <c r="C1979" s="1470" t="s">
        <v>1292</v>
      </c>
      <c r="D1979" s="1470"/>
      <c r="E1979" s="1124" t="s">
        <v>282</v>
      </c>
      <c r="F1979" s="1125" t="s">
        <v>8</v>
      </c>
      <c r="G1979" s="1126" t="s">
        <v>290</v>
      </c>
      <c r="H1979" s="1127">
        <v>10539</v>
      </c>
      <c r="I1979" s="1124" t="s">
        <v>283</v>
      </c>
      <c r="J1979" s="1472" t="s">
        <v>2529</v>
      </c>
      <c r="K1979" s="1472"/>
      <c r="L1979" s="1473"/>
      <c r="M1979" s="1146"/>
      <c r="N1979" s="282"/>
      <c r="O1979" s="34"/>
      <c r="P1979" s="283"/>
      <c r="Q1979" s="282"/>
      <c r="R1979" s="284"/>
    </row>
    <row r="1980" spans="1:24" ht="30" customHeight="1">
      <c r="A1980" s="294" t="s">
        <v>304</v>
      </c>
      <c r="B1980" s="1324" t="s">
        <v>330</v>
      </c>
      <c r="C1980" s="1325"/>
      <c r="D1980" s="1326"/>
      <c r="E1980" s="219" t="s">
        <v>295</v>
      </c>
      <c r="F1980" s="219" t="s">
        <v>331</v>
      </c>
      <c r="G1980" s="1206" t="s">
        <v>332</v>
      </c>
      <c r="H1980" s="1207"/>
      <c r="I1980" s="449" t="s">
        <v>1007</v>
      </c>
      <c r="J1980" s="167" t="s">
        <v>305</v>
      </c>
      <c r="K1980" s="1567" t="s">
        <v>297</v>
      </c>
      <c r="L1980" s="1567"/>
      <c r="M1980" s="1146"/>
      <c r="N1980" s="282"/>
      <c r="O1980" s="34"/>
      <c r="P1980" s="283"/>
      <c r="Q1980" s="282"/>
      <c r="R1980" s="284"/>
    </row>
    <row r="1981" spans="1:24" ht="30" customHeight="1">
      <c r="A1981" s="24" t="s">
        <v>980</v>
      </c>
      <c r="B1981" s="1162" t="s">
        <v>1220</v>
      </c>
      <c r="C1981" s="1163"/>
      <c r="D1981" s="1164"/>
      <c r="E1981" s="565">
        <v>90.12</v>
      </c>
      <c r="F1981" s="10" t="s">
        <v>8</v>
      </c>
      <c r="G1981" s="450"/>
      <c r="H1981" s="297"/>
      <c r="I1981" s="1079">
        <f>+E1981</f>
        <v>90.12</v>
      </c>
      <c r="J1981" s="10">
        <v>1.05</v>
      </c>
      <c r="K1981" s="580">
        <f t="shared" ref="K1981:K1991" si="48">+I1981*J1981</f>
        <v>94.626000000000005</v>
      </c>
      <c r="L1981" s="6" t="s">
        <v>8</v>
      </c>
      <c r="M1981" s="1146"/>
      <c r="N1981" s="1103"/>
      <c r="O1981"/>
      <c r="P1981" s="159"/>
      <c r="Q1981" s="147"/>
      <c r="R1981" s="149"/>
    </row>
    <row r="1982" spans="1:24" ht="30" customHeight="1">
      <c r="A1982" s="24" t="s">
        <v>377</v>
      </c>
      <c r="B1982" s="1162" t="s">
        <v>384</v>
      </c>
      <c r="C1982" s="1163"/>
      <c r="D1982" s="1164"/>
      <c r="E1982" s="568">
        <v>4.01</v>
      </c>
      <c r="F1982" s="10" t="s">
        <v>8</v>
      </c>
      <c r="G1982" s="452"/>
      <c r="H1982" s="439"/>
      <c r="I1982" s="1080">
        <f>+E1982</f>
        <v>4.01</v>
      </c>
      <c r="J1982" s="10">
        <v>1.05</v>
      </c>
      <c r="K1982" s="580">
        <f t="shared" si="48"/>
        <v>4.2104999999999997</v>
      </c>
      <c r="L1982" s="6" t="s">
        <v>8</v>
      </c>
      <c r="M1982" s="1146"/>
      <c r="N1982" s="1103"/>
      <c r="O1982"/>
      <c r="P1982" s="159"/>
      <c r="Q1982" s="147"/>
      <c r="R1982" s="149"/>
    </row>
    <row r="1983" spans="1:24" ht="30" customHeight="1">
      <c r="A1983" s="24" t="s">
        <v>461</v>
      </c>
      <c r="B1983" s="1162" t="s">
        <v>1284</v>
      </c>
      <c r="C1983" s="1163"/>
      <c r="D1983" s="1164"/>
      <c r="E1983" s="565">
        <v>132000</v>
      </c>
      <c r="F1983" s="401" t="s">
        <v>10</v>
      </c>
      <c r="G1983" s="578">
        <f>+E1983/H1979</f>
        <v>12.524907486478794</v>
      </c>
      <c r="H1983" s="439" t="s">
        <v>1011</v>
      </c>
      <c r="I1983" s="1080">
        <f>+G1983</f>
        <v>12.524907486478794</v>
      </c>
      <c r="J1983" s="10">
        <v>1.07</v>
      </c>
      <c r="K1983" s="580">
        <f t="shared" si="48"/>
        <v>13.40165101053231</v>
      </c>
      <c r="L1983" s="6" t="s">
        <v>8</v>
      </c>
      <c r="M1983" s="1146"/>
      <c r="N1983" s="1103"/>
      <c r="O1983"/>
      <c r="P1983" s="159"/>
      <c r="Q1983" s="147"/>
      <c r="R1983" s="149"/>
    </row>
    <row r="1984" spans="1:24" ht="30" customHeight="1">
      <c r="A1984" s="24" t="s">
        <v>461</v>
      </c>
      <c r="B1984" s="1162" t="s">
        <v>2720</v>
      </c>
      <c r="C1984" s="1163"/>
      <c r="D1984" s="1164"/>
      <c r="E1984" s="565">
        <f>+(228+250)/2</f>
        <v>239</v>
      </c>
      <c r="F1984" s="401" t="s">
        <v>6</v>
      </c>
      <c r="G1984" s="578">
        <f>200*E1984/H1979</f>
        <v>4.5355346807097447</v>
      </c>
      <c r="H1984" s="439" t="s">
        <v>1011</v>
      </c>
      <c r="I1984" s="1080">
        <f>+G1984</f>
        <v>4.5355346807097447</v>
      </c>
      <c r="J1984" s="10">
        <v>1.07</v>
      </c>
      <c r="K1984" s="580">
        <f t="shared" si="48"/>
        <v>4.8530221083594274</v>
      </c>
      <c r="L1984" s="6" t="s">
        <v>8</v>
      </c>
      <c r="M1984" s="1146"/>
      <c r="N1984" s="1103"/>
      <c r="O1984"/>
      <c r="P1984" s="159"/>
      <c r="Q1984" s="147"/>
      <c r="R1984" s="149"/>
      <c r="T1984" s="38"/>
      <c r="U1984" s="38"/>
      <c r="V1984" s="38"/>
      <c r="W1984" s="38"/>
      <c r="X1984" s="38"/>
    </row>
    <row r="1985" spans="1:24" s="38" customFormat="1" ht="30" customHeight="1">
      <c r="A1985" s="24" t="s">
        <v>461</v>
      </c>
      <c r="B1985" s="1162" t="s">
        <v>1293</v>
      </c>
      <c r="C1985" s="1163"/>
      <c r="D1985" s="1164"/>
      <c r="E1985" s="565">
        <f>(22.2+44.75)/2</f>
        <v>33.475000000000001</v>
      </c>
      <c r="F1985" s="401" t="s">
        <v>6</v>
      </c>
      <c r="G1985" s="578">
        <f>200*E1985/H1979</f>
        <v>0.63525951228769328</v>
      </c>
      <c r="H1985" s="439" t="s">
        <v>1011</v>
      </c>
      <c r="I1985" s="1080">
        <f>+G1985</f>
        <v>0.63525951228769328</v>
      </c>
      <c r="J1985" s="10">
        <v>1.07</v>
      </c>
      <c r="K1985" s="580">
        <f t="shared" si="48"/>
        <v>0.67972767814783186</v>
      </c>
      <c r="L1985" s="6" t="s">
        <v>8</v>
      </c>
      <c r="M1985" s="1146"/>
      <c r="N1985" s="1103"/>
      <c r="P1985" s="159"/>
      <c r="Q1985" s="147"/>
      <c r="R1985" s="149"/>
      <c r="T1985"/>
      <c r="U1985"/>
      <c r="V1985"/>
      <c r="W1985"/>
      <c r="X1985"/>
    </row>
    <row r="1986" spans="1:24" ht="30" customHeight="1">
      <c r="A1986" s="24" t="s">
        <v>395</v>
      </c>
      <c r="B1986" s="1162" t="s">
        <v>1262</v>
      </c>
      <c r="C1986" s="1163"/>
      <c r="D1986" s="1164"/>
      <c r="E1986" s="565">
        <f>(19.15+29.75)/2</f>
        <v>24.45</v>
      </c>
      <c r="F1986" s="401" t="s">
        <v>8</v>
      </c>
      <c r="G1986" s="579">
        <f>81*E1986</f>
        <v>1980.45</v>
      </c>
      <c r="H1986" s="439"/>
      <c r="I1986" s="1080">
        <f>+G1986/H1979</f>
        <v>0.18791631084543126</v>
      </c>
      <c r="J1986" s="10">
        <v>1.06</v>
      </c>
      <c r="K1986" s="580">
        <f t="shared" si="48"/>
        <v>0.19919128949615714</v>
      </c>
      <c r="L1986" s="6" t="s">
        <v>8</v>
      </c>
      <c r="M1986" s="1146"/>
      <c r="N1986" s="1103"/>
      <c r="O1986"/>
      <c r="P1986" s="159"/>
      <c r="Q1986" s="147"/>
      <c r="R1986" s="149"/>
    </row>
    <row r="1987" spans="1:24" ht="30" customHeight="1">
      <c r="A1987" s="24" t="s">
        <v>395</v>
      </c>
      <c r="B1987" s="1162" t="s">
        <v>397</v>
      </c>
      <c r="C1987" s="1163"/>
      <c r="D1987" s="1164"/>
      <c r="E1987" s="565">
        <f>(1610+2280)/2</f>
        <v>1945</v>
      </c>
      <c r="F1987" s="401"/>
      <c r="G1987" s="578">
        <f>+E1987</f>
        <v>1945</v>
      </c>
      <c r="H1987" s="439"/>
      <c r="I1987" s="1080">
        <f>+G1987/H1979</f>
        <v>0.18455261410000948</v>
      </c>
      <c r="J1987" s="10">
        <v>1.06</v>
      </c>
      <c r="K1987" s="580">
        <f t="shared" si="48"/>
        <v>0.19562577094601005</v>
      </c>
      <c r="L1987" s="6" t="s">
        <v>8</v>
      </c>
      <c r="M1987" s="1146"/>
      <c r="N1987" s="1103"/>
      <c r="O1987"/>
      <c r="P1987" s="159"/>
      <c r="Q1987" s="147"/>
      <c r="R1987" s="149"/>
    </row>
    <row r="1988" spans="1:24" ht="30" customHeight="1">
      <c r="A1988" s="24" t="s">
        <v>398</v>
      </c>
      <c r="B1988" s="1162" t="s">
        <v>1294</v>
      </c>
      <c r="C1988" s="1163"/>
      <c r="D1988" s="1164"/>
      <c r="E1988" s="565">
        <f>+(31.5+75)/2</f>
        <v>53.25</v>
      </c>
      <c r="F1988" s="401" t="s">
        <v>6</v>
      </c>
      <c r="G1988" s="452">
        <v>10</v>
      </c>
      <c r="H1988" s="439" t="s">
        <v>1150</v>
      </c>
      <c r="I1988" s="1080">
        <f>+E1988*G1988/H1979</f>
        <v>5.0526615428408771E-2</v>
      </c>
      <c r="J1988" s="10">
        <v>1.04</v>
      </c>
      <c r="K1988" s="580">
        <f t="shared" si="48"/>
        <v>5.2547680045545123E-2</v>
      </c>
      <c r="L1988" s="6" t="s">
        <v>8</v>
      </c>
      <c r="M1988" s="1146"/>
      <c r="N1988" s="1103"/>
      <c r="O1988"/>
      <c r="P1988" s="159"/>
      <c r="Q1988" s="147"/>
      <c r="R1988" s="149"/>
    </row>
    <row r="1989" spans="1:24" ht="30" customHeight="1">
      <c r="A1989" s="24" t="s">
        <v>398</v>
      </c>
      <c r="B1989" s="1162" t="s">
        <v>1295</v>
      </c>
      <c r="C1989" s="1163"/>
      <c r="D1989" s="1164"/>
      <c r="E1989" s="565">
        <f>+(5900+11300)/2</f>
        <v>8600</v>
      </c>
      <c r="F1989" s="401" t="s">
        <v>10</v>
      </c>
      <c r="G1989" s="452">
        <v>1</v>
      </c>
      <c r="H1989" s="439" t="s">
        <v>1011</v>
      </c>
      <c r="I1989" s="1080">
        <f>+E1989/H1979</f>
        <v>0.8160166998766486</v>
      </c>
      <c r="J1989" s="10">
        <v>1.04</v>
      </c>
      <c r="K1989" s="580">
        <f t="shared" si="48"/>
        <v>0.84865736787171453</v>
      </c>
      <c r="L1989" s="6" t="s">
        <v>8</v>
      </c>
      <c r="M1989" s="1146"/>
      <c r="N1989" s="1103"/>
      <c r="O1989"/>
      <c r="P1989" s="159"/>
      <c r="Q1989" s="147"/>
      <c r="R1989" s="149"/>
    </row>
    <row r="1990" spans="1:24" ht="30" customHeight="1">
      <c r="A1990" s="24" t="s">
        <v>398</v>
      </c>
      <c r="B1990" s="1162" t="s">
        <v>1296</v>
      </c>
      <c r="C1990" s="1163"/>
      <c r="D1990" s="1164"/>
      <c r="E1990" s="568">
        <f>+(605+925)/2</f>
        <v>765</v>
      </c>
      <c r="F1990" s="401" t="s">
        <v>10</v>
      </c>
      <c r="G1990" s="452">
        <v>1</v>
      </c>
      <c r="H1990" s="439" t="s">
        <v>1011</v>
      </c>
      <c r="I1990" s="1080">
        <f>+E1990/H1979</f>
        <v>7.2587532023911189E-2</v>
      </c>
      <c r="J1990" s="10">
        <v>1.04</v>
      </c>
      <c r="K1990" s="580">
        <f t="shared" si="48"/>
        <v>7.5491033304867644E-2</v>
      </c>
      <c r="L1990" s="6" t="s">
        <v>8</v>
      </c>
      <c r="M1990" s="1146"/>
      <c r="N1990" s="1103"/>
      <c r="O1990"/>
      <c r="P1990" s="159"/>
      <c r="Q1990" s="147"/>
      <c r="R1990" s="149"/>
    </row>
    <row r="1991" spans="1:24" ht="30" customHeight="1">
      <c r="A1991" s="24" t="s">
        <v>398</v>
      </c>
      <c r="B1991" s="1162" t="s">
        <v>1297</v>
      </c>
      <c r="C1991" s="1163"/>
      <c r="D1991" s="1164"/>
      <c r="E1991" s="565">
        <f>+(1060+3175)/2</f>
        <v>2117.5</v>
      </c>
      <c r="F1991" s="401" t="s">
        <v>10</v>
      </c>
      <c r="G1991" s="452">
        <v>1</v>
      </c>
      <c r="H1991" s="439" t="s">
        <v>1011</v>
      </c>
      <c r="I1991" s="1080">
        <f>+E1991/H1979</f>
        <v>0.20092039092893063</v>
      </c>
      <c r="J1991" s="10">
        <v>1.04</v>
      </c>
      <c r="K1991" s="580">
        <f t="shared" si="48"/>
        <v>0.20895720656608785</v>
      </c>
      <c r="L1991" s="6" t="s">
        <v>8</v>
      </c>
      <c r="M1991" s="1146"/>
      <c r="N1991" s="1103"/>
      <c r="O1991"/>
      <c r="P1991" s="159"/>
      <c r="Q1991" s="147"/>
      <c r="R1991" s="149"/>
    </row>
    <row r="1992" spans="1:24" ht="30" customHeight="1">
      <c r="A1992" s="24"/>
      <c r="B1992" s="1375"/>
      <c r="C1992" s="1375"/>
      <c r="D1992" s="1375"/>
      <c r="E1992" s="19"/>
      <c r="F1992" s="402"/>
      <c r="G1992" s="403"/>
      <c r="H1992" s="403"/>
      <c r="I1992" s="10"/>
      <c r="J1992" s="10" t="s">
        <v>379</v>
      </c>
      <c r="K1992" s="580">
        <f>SUM(K1981:K1991)</f>
        <v>119.35137114526994</v>
      </c>
      <c r="L1992" s="6" t="s">
        <v>8</v>
      </c>
      <c r="M1992" s="1146"/>
      <c r="N1992" s="1103"/>
      <c r="O1992"/>
      <c r="P1992" s="159"/>
      <c r="Q1992" s="147"/>
      <c r="R1992" s="149"/>
    </row>
    <row r="1993" spans="1:24" ht="30" customHeight="1">
      <c r="A1993" s="45"/>
      <c r="B1993" s="157"/>
      <c r="C1993" s="157"/>
      <c r="D1993" s="157"/>
      <c r="E1993" s="157"/>
      <c r="F1993" s="1174" t="s">
        <v>308</v>
      </c>
      <c r="G1993" s="1208" t="s">
        <v>309</v>
      </c>
      <c r="H1993" s="1208"/>
      <c r="I1993" s="1208"/>
      <c r="J1993" s="1208"/>
      <c r="K1993" s="415">
        <v>1.08</v>
      </c>
      <c r="L1993" s="10"/>
      <c r="M1993" s="1146"/>
      <c r="N1993" s="282"/>
      <c r="O1993" s="34"/>
      <c r="P1993" s="283"/>
      <c r="Q1993" s="282"/>
      <c r="R1993" s="284"/>
    </row>
    <row r="1994" spans="1:24" ht="30" customHeight="1">
      <c r="A1994" s="45"/>
      <c r="B1994" s="157"/>
      <c r="C1994" s="157"/>
      <c r="D1994" s="157"/>
      <c r="E1994" s="157"/>
      <c r="F1994" s="1175"/>
      <c r="G1994" s="1209" t="s">
        <v>310</v>
      </c>
      <c r="H1994" s="1209"/>
      <c r="I1994" s="1209"/>
      <c r="J1994" s="1209"/>
      <c r="K1994" s="123">
        <v>1.07</v>
      </c>
      <c r="L1994" s="10"/>
      <c r="M1994" s="1146"/>
      <c r="N1994" s="282"/>
      <c r="O1994" s="34"/>
      <c r="P1994" s="283"/>
      <c r="Q1994" s="282"/>
      <c r="R1994" s="284"/>
    </row>
    <row r="1995" spans="1:24" ht="30" customHeight="1">
      <c r="A1995" s="545"/>
      <c r="B1995" s="575"/>
      <c r="C1995" s="575"/>
      <c r="D1995" s="575"/>
      <c r="E1995" s="575"/>
      <c r="F1995" s="575"/>
      <c r="G1995" s="575"/>
      <c r="H1995" s="47"/>
      <c r="I1995" s="47"/>
      <c r="J1995" s="24" t="s">
        <v>289</v>
      </c>
      <c r="K1995" s="576">
        <f>+K1992*K1993/K1994</f>
        <v>120.46680452045938</v>
      </c>
      <c r="L1995" s="390" t="s">
        <v>8</v>
      </c>
      <c r="M1995" s="1146"/>
      <c r="N1995" s="1103"/>
      <c r="O1995"/>
      <c r="P1995" s="159"/>
      <c r="Q1995" s="147"/>
      <c r="R1995" s="149"/>
    </row>
    <row r="1996" spans="1:24" ht="30" customHeight="1">
      <c r="A1996" s="545"/>
      <c r="B1996" s="577"/>
      <c r="C1996" s="577"/>
      <c r="D1996" s="577"/>
      <c r="E1996" s="577"/>
      <c r="G1996" s="577"/>
      <c r="H1996" s="47"/>
      <c r="I1996" s="554" t="s">
        <v>385</v>
      </c>
      <c r="J1996" s="178">
        <f>VLOOKUP(B1979,'Mil Cost Premiums for RUCs'!$A$4:$R$266,18,FALSE)</f>
        <v>1.3319480854780448</v>
      </c>
      <c r="K1996" s="576">
        <f>+K1995*J1996</f>
        <v>160.45552964468374</v>
      </c>
      <c r="L1996" s="390" t="s">
        <v>8</v>
      </c>
      <c r="M1996" s="1146"/>
      <c r="N1996" s="1103"/>
      <c r="O1996"/>
      <c r="P1996" s="159"/>
      <c r="Q1996" s="147"/>
      <c r="R1996" s="149"/>
    </row>
    <row r="1997" spans="1:24" ht="60" customHeight="1">
      <c r="A1997" s="1335" t="s">
        <v>313</v>
      </c>
      <c r="B1997" s="1335"/>
      <c r="C1997" s="1335"/>
      <c r="D1997" s="1335"/>
      <c r="E1997" s="1335"/>
      <c r="F1997" s="1335"/>
      <c r="G1997" s="1335"/>
      <c r="H1997" s="1335"/>
      <c r="I1997" s="1335"/>
      <c r="J1997" s="1335"/>
      <c r="K1997" s="1335"/>
      <c r="L1997" s="1335"/>
      <c r="M1997" s="1146"/>
      <c r="N1997" s="951"/>
      <c r="O1997"/>
      <c r="P1997" s="159"/>
      <c r="Q1997" s="147"/>
      <c r="R1997" s="149"/>
    </row>
    <row r="1998" spans="1:24" ht="30" customHeight="1">
      <c r="A1998" s="1516" t="s">
        <v>314</v>
      </c>
      <c r="B1998" s="1517"/>
      <c r="C1998" s="1518"/>
      <c r="D1998" s="1270" t="s">
        <v>1298</v>
      </c>
      <c r="E1998" s="1371"/>
      <c r="F1998" s="1371"/>
      <c r="G1998" s="1371"/>
      <c r="H1998" s="1371"/>
      <c r="I1998" s="1371"/>
      <c r="J1998" s="1371"/>
      <c r="K1998" s="1371"/>
      <c r="L1998" s="1372"/>
      <c r="M1998" s="1146"/>
      <c r="N1998" s="951"/>
      <c r="O1998"/>
      <c r="P1998" s="159"/>
      <c r="Q1998" s="147"/>
      <c r="R1998" s="149"/>
      <c r="T1998" s="38"/>
      <c r="U1998" s="38"/>
      <c r="V1998" s="38"/>
      <c r="W1998" s="38"/>
      <c r="X1998" s="38"/>
    </row>
    <row r="1999" spans="1:24" s="38" customFormat="1" ht="30" customHeight="1">
      <c r="A1999" s="1516" t="s">
        <v>316</v>
      </c>
      <c r="B1999" s="1517"/>
      <c r="C1999" s="1518"/>
      <c r="D1999" s="1270" t="s">
        <v>1299</v>
      </c>
      <c r="E1999" s="1371"/>
      <c r="F1999" s="1371"/>
      <c r="G1999" s="1371"/>
      <c r="H1999" s="1371"/>
      <c r="I1999" s="1371"/>
      <c r="J1999" s="1371"/>
      <c r="K1999" s="1371"/>
      <c r="L1999" s="1372"/>
      <c r="M1999" s="1146"/>
      <c r="N1999" s="1103"/>
      <c r="P1999" s="159"/>
      <c r="Q1999" s="147"/>
      <c r="R1999" s="149"/>
      <c r="T1999"/>
      <c r="U1999"/>
      <c r="V1999"/>
      <c r="W1999"/>
      <c r="X1999"/>
    </row>
    <row r="2000" spans="1:24" ht="30" customHeight="1">
      <c r="A2000" s="1516" t="s">
        <v>317</v>
      </c>
      <c r="B2000" s="1517"/>
      <c r="C2000" s="1518"/>
      <c r="D2000" s="1270" t="s">
        <v>1300</v>
      </c>
      <c r="E2000" s="1371"/>
      <c r="F2000" s="1371"/>
      <c r="G2000" s="1371"/>
      <c r="H2000" s="1371"/>
      <c r="I2000" s="1371"/>
      <c r="J2000" s="1371"/>
      <c r="K2000" s="1371"/>
      <c r="L2000" s="1372"/>
      <c r="M2000" s="1146"/>
      <c r="N2000" s="1103"/>
      <c r="O2000"/>
      <c r="P2000" s="159"/>
      <c r="Q2000" s="147"/>
      <c r="R2000" s="149"/>
    </row>
    <row r="2001" spans="1:24" ht="30" customHeight="1">
      <c r="A2001" s="1516" t="s">
        <v>318</v>
      </c>
      <c r="B2001" s="1517"/>
      <c r="C2001" s="1518"/>
      <c r="D2001" s="1270" t="s">
        <v>1301</v>
      </c>
      <c r="E2001" s="1371"/>
      <c r="F2001" s="1371"/>
      <c r="G2001" s="1371"/>
      <c r="H2001" s="1371"/>
      <c r="I2001" s="1371"/>
      <c r="J2001" s="1371"/>
      <c r="K2001" s="1371"/>
      <c r="L2001" s="1372"/>
      <c r="M2001" s="1146"/>
      <c r="N2001" s="951"/>
      <c r="O2001"/>
      <c r="P2001" s="159"/>
      <c r="Q2001" s="147"/>
      <c r="R2001" s="149"/>
    </row>
    <row r="2002" spans="1:24" ht="75" customHeight="1">
      <c r="A2002" s="1516" t="s">
        <v>320</v>
      </c>
      <c r="B2002" s="1517"/>
      <c r="C2002" s="1518"/>
      <c r="D2002" s="1270" t="s">
        <v>1302</v>
      </c>
      <c r="E2002" s="1371"/>
      <c r="F2002" s="1371"/>
      <c r="G2002" s="1371"/>
      <c r="H2002" s="1371"/>
      <c r="I2002" s="1371"/>
      <c r="J2002" s="1371"/>
      <c r="K2002" s="1371"/>
      <c r="L2002" s="1372"/>
      <c r="M2002" s="1146"/>
      <c r="N2002" s="951"/>
      <c r="O2002"/>
      <c r="P2002" s="159"/>
      <c r="Q2002" s="147"/>
      <c r="R2002" s="149"/>
    </row>
    <row r="2003" spans="1:24" ht="30" customHeight="1">
      <c r="A2003" s="1516" t="s">
        <v>322</v>
      </c>
      <c r="B2003" s="1517"/>
      <c r="C2003" s="1518"/>
      <c r="D2003" s="1270" t="s">
        <v>1290</v>
      </c>
      <c r="E2003" s="1371"/>
      <c r="F2003" s="1371"/>
      <c r="G2003" s="1371"/>
      <c r="H2003" s="1371"/>
      <c r="I2003" s="1371"/>
      <c r="J2003" s="1371"/>
      <c r="K2003" s="1371"/>
      <c r="L2003" s="1372"/>
      <c r="M2003" s="1146"/>
      <c r="O2003"/>
      <c r="P2003" s="159"/>
      <c r="Q2003" s="147"/>
      <c r="R2003" s="149"/>
    </row>
    <row r="2004" spans="1:24" ht="30" customHeight="1">
      <c r="A2004" s="1516" t="s">
        <v>324</v>
      </c>
      <c r="B2004" s="1517"/>
      <c r="C2004" s="1518"/>
      <c r="D2004" s="1270" t="s">
        <v>927</v>
      </c>
      <c r="E2004" s="1371"/>
      <c r="F2004" s="1371"/>
      <c r="G2004" s="1371"/>
      <c r="H2004" s="1371"/>
      <c r="I2004" s="1371"/>
      <c r="J2004" s="1371"/>
      <c r="K2004" s="1371"/>
      <c r="L2004" s="1372"/>
      <c r="M2004" s="1146"/>
      <c r="N2004" s="85"/>
      <c r="O2004"/>
      <c r="P2004" s="159"/>
      <c r="Q2004" s="147"/>
      <c r="R2004" s="149"/>
    </row>
    <row r="2005" spans="1:24" ht="75" customHeight="1">
      <c r="A2005" s="1516" t="s">
        <v>325</v>
      </c>
      <c r="B2005" s="1517"/>
      <c r="C2005" s="1518"/>
      <c r="D2005" s="1270" t="s">
        <v>391</v>
      </c>
      <c r="E2005" s="1371"/>
      <c r="F2005" s="1371"/>
      <c r="G2005" s="1371"/>
      <c r="H2005" s="1371"/>
      <c r="I2005" s="1371"/>
      <c r="J2005" s="1371"/>
      <c r="K2005" s="1371"/>
      <c r="L2005" s="1372"/>
      <c r="M2005" s="1146"/>
      <c r="N2005" s="55"/>
      <c r="O2005"/>
      <c r="P2005" s="159"/>
      <c r="Q2005" s="147"/>
      <c r="R2005" s="149"/>
      <c r="T2005" s="32"/>
      <c r="U2005" s="34"/>
    </row>
    <row r="2006" spans="1:24" ht="45" customHeight="1" thickBot="1">
      <c r="A2006" s="1516" t="s">
        <v>327</v>
      </c>
      <c r="B2006" s="1517"/>
      <c r="C2006" s="1518"/>
      <c r="D2006" s="1501" t="s">
        <v>1303</v>
      </c>
      <c r="E2006" s="1502"/>
      <c r="F2006" s="1502"/>
      <c r="G2006" s="1502"/>
      <c r="H2006" s="1502"/>
      <c r="I2006" s="1502"/>
      <c r="J2006" s="1502"/>
      <c r="K2006" s="1502"/>
      <c r="L2006" s="1503"/>
      <c r="M2006" s="1146"/>
      <c r="N2006" s="125"/>
      <c r="O2006" s="33"/>
      <c r="P2006" s="32"/>
      <c r="Q2006" s="32"/>
      <c r="R2006" s="32"/>
      <c r="S2006" s="32"/>
      <c r="U2006" s="34"/>
    </row>
    <row r="2007" spans="1:24" ht="30" customHeight="1" thickBot="1">
      <c r="A2007" s="1165"/>
      <c r="B2007" s="1166"/>
      <c r="C2007" s="1166"/>
      <c r="D2007" s="1166"/>
      <c r="E2007" s="1166"/>
      <c r="F2007" s="1166"/>
      <c r="G2007" s="1166"/>
      <c r="H2007" s="1166"/>
      <c r="I2007" s="1166"/>
      <c r="J2007" s="1166"/>
      <c r="K2007" s="1166"/>
      <c r="L2007" s="1167"/>
      <c r="M2007" s="1146"/>
      <c r="U2007" s="32"/>
      <c r="V2007" s="32"/>
      <c r="W2007" s="32"/>
      <c r="X2007" s="32"/>
    </row>
    <row r="2008" spans="1:24" s="32" customFormat="1" ht="30" customHeight="1">
      <c r="A2008" s="81" t="s">
        <v>280</v>
      </c>
      <c r="B2008" s="82">
        <v>3711</v>
      </c>
      <c r="C2008" s="1228" t="s">
        <v>1304</v>
      </c>
      <c r="D2008" s="1229"/>
      <c r="E2008" s="74" t="s">
        <v>282</v>
      </c>
      <c r="F2008" s="75" t="s">
        <v>8</v>
      </c>
      <c r="G2008" s="58" t="s">
        <v>290</v>
      </c>
      <c r="H2008" s="104">
        <v>2417</v>
      </c>
      <c r="I2008" s="74" t="s">
        <v>283</v>
      </c>
      <c r="J2008" s="1199" t="s">
        <v>1305</v>
      </c>
      <c r="K2008" s="1230"/>
      <c r="L2008" s="1231"/>
      <c r="M2008" s="1146"/>
      <c r="N2008" s="25"/>
      <c r="O2008" s="1119"/>
      <c r="P2008"/>
      <c r="Q2008"/>
      <c r="R2008"/>
      <c r="S2008"/>
      <c r="T2008" s="84"/>
      <c r="U2008" s="38"/>
      <c r="V2008" s="38"/>
      <c r="W2008" s="38"/>
      <c r="X2008" s="38"/>
    </row>
    <row r="2009" spans="1:24" s="38" customFormat="1" ht="30" customHeight="1">
      <c r="A2009" s="77" t="s">
        <v>293</v>
      </c>
      <c r="B2009" s="1232" t="s">
        <v>284</v>
      </c>
      <c r="C2009" s="1232"/>
      <c r="D2009" s="1232"/>
      <c r="E2009" s="96" t="s">
        <v>295</v>
      </c>
      <c r="F2009" s="77" t="s">
        <v>294</v>
      </c>
      <c r="G2009" s="1365"/>
      <c r="H2009" s="1366"/>
      <c r="I2009" s="1233" t="s">
        <v>426</v>
      </c>
      <c r="J2009" s="1234"/>
      <c r="K2009" s="1303" t="s">
        <v>297</v>
      </c>
      <c r="L2009" s="1304"/>
      <c r="M2009" s="1146"/>
      <c r="N2009" s="193"/>
      <c r="O2009" s="1119"/>
      <c r="P2009" s="39"/>
      <c r="Q2009" s="39"/>
      <c r="R2009" s="39"/>
      <c r="S2009" s="84"/>
      <c r="T2009" s="44"/>
      <c r="U2009"/>
      <c r="V2009"/>
      <c r="W2009"/>
      <c r="X2009"/>
    </row>
    <row r="2010" spans="1:24" ht="30" customHeight="1">
      <c r="A2010" s="20">
        <v>17123</v>
      </c>
      <c r="B2010" s="1176" t="s">
        <v>1306</v>
      </c>
      <c r="C2010" s="1177"/>
      <c r="D2010" s="1178"/>
      <c r="E2010" s="581">
        <v>307</v>
      </c>
      <c r="F2010" s="582">
        <v>1100</v>
      </c>
      <c r="G2010" s="286"/>
      <c r="H2010" s="286"/>
      <c r="I2010" s="1546">
        <f>+'2019 MILCON Inflation Table'!F16</f>
        <v>0.98039215686274506</v>
      </c>
      <c r="J2010" s="1547"/>
      <c r="K2010" s="106">
        <f>+I2010*E2010</f>
        <v>300.98039215686271</v>
      </c>
      <c r="L2010" s="97" t="s">
        <v>8</v>
      </c>
      <c r="M2010" s="1146"/>
      <c r="P2010" s="34"/>
      <c r="Q2010" s="34"/>
      <c r="R2010" s="34"/>
      <c r="S2010" s="44"/>
    </row>
    <row r="2011" spans="1:24" ht="30" customHeight="1">
      <c r="A2011" s="20">
        <v>17213</v>
      </c>
      <c r="B2011" s="1176" t="s">
        <v>2721</v>
      </c>
      <c r="C2011" s="1177"/>
      <c r="D2011" s="1178"/>
      <c r="E2011" s="581">
        <v>404</v>
      </c>
      <c r="F2011" s="582">
        <v>36210</v>
      </c>
      <c r="G2011" s="528"/>
      <c r="H2011" s="529"/>
      <c r="I2011" s="1546">
        <f>+'2019 MILCON Inflation Table'!F18</f>
        <v>0.94232233454704462</v>
      </c>
      <c r="J2011" s="1547"/>
      <c r="K2011" s="106">
        <f>+I2011*E2011</f>
        <v>380.698223157006</v>
      </c>
      <c r="L2011" s="97" t="s">
        <v>8</v>
      </c>
      <c r="M2011" s="1146"/>
      <c r="P2011" s="159"/>
      <c r="Q2011" s="147"/>
      <c r="R2011" s="149"/>
    </row>
    <row r="2012" spans="1:24" ht="30" customHeight="1" thickBot="1">
      <c r="A2012" s="20"/>
      <c r="B2012" s="1179"/>
      <c r="C2012" s="1180"/>
      <c r="D2012" s="1181"/>
      <c r="E2012" s="181"/>
      <c r="F2012" s="338"/>
      <c r="G2012" s="181"/>
      <c r="H2012" s="339"/>
      <c r="I2012" s="18"/>
      <c r="J2012" s="79" t="s">
        <v>289</v>
      </c>
      <c r="K2012" s="107">
        <f>AVERAGE(K2010:K2011)</f>
        <v>340.83930765693435</v>
      </c>
      <c r="L2012" s="97" t="s">
        <v>8</v>
      </c>
      <c r="M2012" s="1146"/>
      <c r="N2012" s="975"/>
      <c r="O2012" s="522"/>
      <c r="P2012" s="159"/>
      <c r="Q2012" s="147"/>
      <c r="R2012" s="149"/>
    </row>
    <row r="2013" spans="1:24" ht="30" customHeight="1" thickBot="1">
      <c r="A2013" s="1165"/>
      <c r="B2013" s="1166"/>
      <c r="C2013" s="1166"/>
      <c r="D2013" s="1166"/>
      <c r="E2013" s="1166"/>
      <c r="F2013" s="1166"/>
      <c r="G2013" s="1166"/>
      <c r="H2013" s="1166"/>
      <c r="I2013" s="1166"/>
      <c r="J2013" s="1166"/>
      <c r="K2013" s="1166"/>
      <c r="L2013" s="1167"/>
      <c r="M2013" s="1146"/>
      <c r="N2013" s="975"/>
      <c r="O2013" s="522"/>
      <c r="P2013" s="159"/>
      <c r="Q2013" s="147"/>
      <c r="R2013" s="149"/>
      <c r="T2013" s="38"/>
      <c r="U2013" s="38"/>
      <c r="V2013" s="38"/>
      <c r="W2013" s="38"/>
      <c r="X2013" s="38"/>
    </row>
    <row r="2014" spans="1:24" s="38" customFormat="1" ht="30" customHeight="1">
      <c r="A2014" s="81" t="s">
        <v>280</v>
      </c>
      <c r="B2014" s="82">
        <v>3712</v>
      </c>
      <c r="C2014" s="1228" t="s">
        <v>1307</v>
      </c>
      <c r="D2014" s="1229"/>
      <c r="E2014" s="74" t="s">
        <v>282</v>
      </c>
      <c r="F2014" s="75" t="s">
        <v>10</v>
      </c>
      <c r="G2014" s="91" t="s">
        <v>281</v>
      </c>
      <c r="H2014" s="104">
        <v>1</v>
      </c>
      <c r="I2014" s="74" t="s">
        <v>283</v>
      </c>
      <c r="J2014" s="1199" t="s">
        <v>2531</v>
      </c>
      <c r="K2014" s="1230"/>
      <c r="L2014" s="1231"/>
      <c r="M2014" s="1146"/>
      <c r="N2014" s="975"/>
      <c r="O2014" s="522"/>
      <c r="P2014" s="159"/>
      <c r="Q2014" s="147"/>
      <c r="R2014" s="149"/>
      <c r="T2014"/>
      <c r="U2014"/>
      <c r="V2014"/>
      <c r="W2014"/>
      <c r="X2014"/>
    </row>
    <row r="2015" spans="1:24" ht="30" customHeight="1">
      <c r="A2015" s="77" t="s">
        <v>293</v>
      </c>
      <c r="B2015" s="1232" t="s">
        <v>284</v>
      </c>
      <c r="C2015" s="1232"/>
      <c r="D2015" s="1232"/>
      <c r="E2015" s="96" t="s">
        <v>295</v>
      </c>
      <c r="F2015" s="77" t="s">
        <v>294</v>
      </c>
      <c r="G2015" s="1365" t="s">
        <v>2</v>
      </c>
      <c r="H2015" s="1366"/>
      <c r="I2015" s="1233" t="s">
        <v>426</v>
      </c>
      <c r="J2015" s="1234"/>
      <c r="K2015" s="1303" t="s">
        <v>297</v>
      </c>
      <c r="L2015" s="1304"/>
      <c r="M2015" s="1146"/>
      <c r="N2015" s="523"/>
      <c r="O2015" s="523"/>
      <c r="P2015" s="159"/>
      <c r="Q2015" s="147"/>
      <c r="R2015" s="149"/>
    </row>
    <row r="2016" spans="1:24" ht="30" customHeight="1">
      <c r="A2016" s="97">
        <v>62010</v>
      </c>
      <c r="B2016" s="1222" t="s">
        <v>1308</v>
      </c>
      <c r="C2016" s="1222"/>
      <c r="D2016" s="1222"/>
      <c r="E2016" s="581">
        <v>235</v>
      </c>
      <c r="F2016" s="583">
        <v>230</v>
      </c>
      <c r="G2016" s="97" t="s">
        <v>8</v>
      </c>
      <c r="H2016" s="584"/>
      <c r="I2016" s="1546">
        <f>+'2019 MILCON Inflation Table'!F8</f>
        <v>1.2987915407854984</v>
      </c>
      <c r="J2016" s="1547"/>
      <c r="K2016" s="502">
        <f>+E2016*F2016*I2016</f>
        <v>70199.682779456183</v>
      </c>
      <c r="L2016" s="97" t="s">
        <v>10</v>
      </c>
      <c r="M2016" s="1146"/>
      <c r="N2016" s="523"/>
      <c r="O2016" s="523"/>
      <c r="P2016" s="159"/>
      <c r="Q2016" s="147"/>
      <c r="R2016" s="149"/>
    </row>
    <row r="2017" spans="1:24" ht="30" customHeight="1">
      <c r="A2017" s="20">
        <v>17971</v>
      </c>
      <c r="B2017" s="1176" t="s">
        <v>1309</v>
      </c>
      <c r="C2017" s="1177"/>
      <c r="D2017" s="1178"/>
      <c r="E2017" s="581">
        <v>606194</v>
      </c>
      <c r="F2017" s="316">
        <v>1</v>
      </c>
      <c r="G2017" s="286" t="s">
        <v>10</v>
      </c>
      <c r="H2017" s="286"/>
      <c r="I2017" s="1192">
        <f>+'2019 MILCON Inflation Table'!F16</f>
        <v>0.98039215686274506</v>
      </c>
      <c r="J2017" s="1193"/>
      <c r="K2017" s="502">
        <f>+E2017*I2017</f>
        <v>594307.84313725482</v>
      </c>
      <c r="L2017" s="97" t="s">
        <v>10</v>
      </c>
      <c r="M2017" s="1146"/>
      <c r="N2017" s="1103"/>
      <c r="O2017"/>
      <c r="P2017" s="159"/>
      <c r="Q2017" s="147"/>
      <c r="R2017" s="149"/>
    </row>
    <row r="2018" spans="1:24" ht="30" customHeight="1">
      <c r="A2018" s="20" t="s">
        <v>1310</v>
      </c>
      <c r="B2018" s="1176" t="s">
        <v>2722</v>
      </c>
      <c r="C2018" s="1177"/>
      <c r="D2018" s="1178"/>
      <c r="E2018" s="581">
        <f>+K23</f>
        <v>62194.548971962606</v>
      </c>
      <c r="F2018" s="316">
        <v>1</v>
      </c>
      <c r="G2018" s="286" t="s">
        <v>10</v>
      </c>
      <c r="H2018" s="286"/>
      <c r="I2018" s="1546"/>
      <c r="J2018" s="1547"/>
      <c r="K2018" s="581">
        <f>+E2018</f>
        <v>62194.548971962606</v>
      </c>
      <c r="L2018" s="97" t="s">
        <v>10</v>
      </c>
      <c r="M2018" s="1146"/>
      <c r="N2018" s="1103"/>
      <c r="O2018"/>
      <c r="P2018" s="159"/>
      <c r="Q2018" s="147"/>
      <c r="R2018" s="149"/>
      <c r="T2018" s="59"/>
      <c r="U2018" s="59"/>
      <c r="V2018" s="59"/>
      <c r="W2018" s="59"/>
      <c r="X2018" s="59"/>
    </row>
    <row r="2019" spans="1:24" s="59" customFormat="1" ht="30" customHeight="1">
      <c r="A2019" s="20"/>
      <c r="B2019" s="436"/>
      <c r="C2019" s="437"/>
      <c r="D2019" s="325"/>
      <c r="E2019" s="287"/>
      <c r="F2019" s="527"/>
      <c r="G2019" s="528"/>
      <c r="H2019" s="529"/>
      <c r="I2019" s="585"/>
      <c r="J2019" s="531" t="s">
        <v>346</v>
      </c>
      <c r="K2019" s="502">
        <f>SUM(K2016:K2018)</f>
        <v>726702.07488867361</v>
      </c>
      <c r="L2019" s="97" t="s">
        <v>10</v>
      </c>
      <c r="M2019" s="1146"/>
      <c r="N2019" s="803"/>
      <c r="P2019" s="308"/>
      <c r="Q2019" s="307"/>
      <c r="R2019" s="309"/>
      <c r="T2019"/>
      <c r="U2019"/>
      <c r="V2019"/>
      <c r="W2019"/>
      <c r="X2019"/>
    </row>
    <row r="2020" spans="1:24" ht="30" customHeight="1" thickBot="1">
      <c r="A2020" s="20"/>
      <c r="B2020" s="1179"/>
      <c r="C2020" s="1180"/>
      <c r="D2020" s="1181"/>
      <c r="E2020" s="181"/>
      <c r="F2020" s="338"/>
      <c r="G2020" s="181"/>
      <c r="H2020" s="339"/>
      <c r="I2020" s="339"/>
      <c r="J2020" s="79" t="s">
        <v>289</v>
      </c>
      <c r="K2020" s="502">
        <f>+K2019</f>
        <v>726702.07488867361</v>
      </c>
      <c r="L2020" s="97" t="s">
        <v>10</v>
      </c>
      <c r="M2020" s="1146"/>
      <c r="N2020" s="1103"/>
      <c r="O2020"/>
      <c r="P2020" s="159"/>
      <c r="Q2020" s="147"/>
      <c r="R2020" s="149"/>
    </row>
    <row r="2021" spans="1:24" ht="30" customHeight="1" thickBot="1">
      <c r="A2021" s="1165"/>
      <c r="B2021" s="1166"/>
      <c r="C2021" s="1166"/>
      <c r="D2021" s="1166"/>
      <c r="E2021" s="1166"/>
      <c r="F2021" s="1166"/>
      <c r="G2021" s="1166"/>
      <c r="H2021" s="1166"/>
      <c r="I2021" s="1166"/>
      <c r="J2021" s="1166"/>
      <c r="K2021" s="1166"/>
      <c r="L2021" s="1167"/>
      <c r="M2021" s="1146"/>
      <c r="N2021" s="1103"/>
      <c r="O2021"/>
      <c r="P2021" s="159"/>
      <c r="Q2021" s="147"/>
      <c r="R2021" s="149"/>
    </row>
    <row r="2022" spans="1:24" ht="30" customHeight="1">
      <c r="A2022" s="81" t="s">
        <v>280</v>
      </c>
      <c r="B2022" s="82">
        <v>3713</v>
      </c>
      <c r="C2022" s="1228" t="s">
        <v>1311</v>
      </c>
      <c r="D2022" s="1229"/>
      <c r="E2022" s="74" t="s">
        <v>282</v>
      </c>
      <c r="F2022" s="75" t="s">
        <v>10</v>
      </c>
      <c r="G2022" s="91" t="s">
        <v>281</v>
      </c>
      <c r="H2022" s="104">
        <v>1</v>
      </c>
      <c r="I2022" s="74" t="s">
        <v>283</v>
      </c>
      <c r="J2022" s="1199" t="s">
        <v>2930</v>
      </c>
      <c r="K2022" s="1230"/>
      <c r="L2022" s="1231"/>
      <c r="M2022" s="1146"/>
      <c r="N2022" s="1103"/>
      <c r="O2022"/>
      <c r="P2022" s="159"/>
      <c r="Q2022" s="147"/>
      <c r="R2022" s="149"/>
      <c r="T2022" s="38"/>
      <c r="U2022" s="38"/>
      <c r="V2022" s="38"/>
      <c r="W2022" s="38"/>
      <c r="X2022" s="38"/>
    </row>
    <row r="2023" spans="1:24" s="38" customFormat="1" ht="30" customHeight="1">
      <c r="A2023" s="77" t="s">
        <v>293</v>
      </c>
      <c r="B2023" s="1232" t="s">
        <v>284</v>
      </c>
      <c r="C2023" s="1232"/>
      <c r="D2023" s="1232"/>
      <c r="E2023" s="96" t="s">
        <v>295</v>
      </c>
      <c r="F2023" s="77" t="s">
        <v>294</v>
      </c>
      <c r="G2023" s="1365" t="s">
        <v>2</v>
      </c>
      <c r="H2023" s="1366"/>
      <c r="I2023" s="1233" t="s">
        <v>426</v>
      </c>
      <c r="J2023" s="1234"/>
      <c r="K2023" s="1303" t="s">
        <v>297</v>
      </c>
      <c r="L2023" s="1304"/>
      <c r="M2023" s="1146"/>
      <c r="N2023" s="1103"/>
      <c r="P2023" s="159"/>
      <c r="Q2023" s="147"/>
      <c r="R2023" s="149"/>
      <c r="T2023"/>
      <c r="U2023"/>
      <c r="V2023"/>
      <c r="W2023"/>
      <c r="X2023"/>
    </row>
    <row r="2024" spans="1:24" ht="30" customHeight="1">
      <c r="A2024" s="20">
        <v>17123</v>
      </c>
      <c r="B2024" s="1176" t="s">
        <v>1312</v>
      </c>
      <c r="C2024" s="1177"/>
      <c r="D2024" s="1178"/>
      <c r="E2024" s="581">
        <v>207</v>
      </c>
      <c r="F2024" s="586">
        <v>2576</v>
      </c>
      <c r="G2024" s="286" t="s">
        <v>8</v>
      </c>
      <c r="H2024" s="286"/>
      <c r="I2024" s="1546">
        <f>+'2019 MILCON Inflation Table'!F10</f>
        <v>1.2327470846874402</v>
      </c>
      <c r="J2024" s="1547"/>
      <c r="K2024" s="502">
        <f>+E2024*F2024*I2024</f>
        <v>657340.19346205308</v>
      </c>
      <c r="L2024" s="97" t="s">
        <v>10</v>
      </c>
      <c r="M2024" s="1146"/>
      <c r="N2024" s="1103"/>
      <c r="O2024"/>
      <c r="P2024" s="159"/>
      <c r="Q2024" s="147"/>
      <c r="R2024" s="149"/>
    </row>
    <row r="2025" spans="1:24" ht="30" customHeight="1">
      <c r="A2025" s="20">
        <v>62010</v>
      </c>
      <c r="B2025" s="1222" t="s">
        <v>507</v>
      </c>
      <c r="C2025" s="1222"/>
      <c r="D2025" s="1222"/>
      <c r="E2025" s="581">
        <v>235</v>
      </c>
      <c r="F2025" s="587">
        <v>230</v>
      </c>
      <c r="G2025" s="97" t="s">
        <v>8</v>
      </c>
      <c r="H2025" s="584"/>
      <c r="I2025" s="1546">
        <f>+'2019 MILCON Inflation Table'!F8</f>
        <v>1.2987915407854984</v>
      </c>
      <c r="J2025" s="1547"/>
      <c r="K2025" s="502">
        <f>+E2025*F2025*I2025</f>
        <v>70199.682779456183</v>
      </c>
      <c r="L2025" s="97" t="s">
        <v>10</v>
      </c>
      <c r="M2025" s="1146"/>
      <c r="N2025" s="1103"/>
      <c r="O2025"/>
      <c r="P2025" s="159"/>
      <c r="Q2025" s="147"/>
      <c r="R2025" s="149"/>
    </row>
    <row r="2026" spans="1:24" ht="30" customHeight="1">
      <c r="A2026" s="20">
        <v>17971</v>
      </c>
      <c r="B2026" s="1176" t="s">
        <v>1313</v>
      </c>
      <c r="C2026" s="1177"/>
      <c r="D2026" s="1178"/>
      <c r="E2026" s="581">
        <v>606194</v>
      </c>
      <c r="F2026" s="586">
        <v>1</v>
      </c>
      <c r="G2026" s="286" t="s">
        <v>10</v>
      </c>
      <c r="H2026" s="286"/>
      <c r="I2026" s="1192">
        <f>+'2019 MILCON Inflation Table'!F16</f>
        <v>0.98039215686274506</v>
      </c>
      <c r="J2026" s="1193"/>
      <c r="K2026" s="502">
        <f>+E2026*I2026</f>
        <v>594307.84313725482</v>
      </c>
      <c r="L2026" s="97" t="s">
        <v>10</v>
      </c>
      <c r="M2026" s="1146"/>
      <c r="N2026" s="1103"/>
      <c r="O2026"/>
      <c r="P2026" s="159"/>
      <c r="Q2026" s="147"/>
      <c r="R2026" s="149"/>
    </row>
    <row r="2027" spans="1:24" ht="30" customHeight="1">
      <c r="A2027" s="20">
        <v>85110</v>
      </c>
      <c r="B2027" s="1224" t="s">
        <v>1314</v>
      </c>
      <c r="C2027" s="1224"/>
      <c r="D2027" s="1224"/>
      <c r="E2027" s="581">
        <v>58</v>
      </c>
      <c r="F2027" s="586">
        <v>147</v>
      </c>
      <c r="G2027" s="286" t="s">
        <v>3</v>
      </c>
      <c r="H2027" s="286"/>
      <c r="I2027" s="1192">
        <f>+'2019 MILCON Inflation Table'!F16</f>
        <v>0.98039215686274506</v>
      </c>
      <c r="J2027" s="1193"/>
      <c r="K2027" s="502">
        <f>+E2027*F2027*I2027</f>
        <v>8358.823529411764</v>
      </c>
      <c r="L2027" s="97" t="s">
        <v>10</v>
      </c>
      <c r="M2027" s="1146"/>
      <c r="N2027" s="282"/>
      <c r="O2027" s="34"/>
      <c r="P2027" s="283"/>
      <c r="Q2027" s="282"/>
      <c r="R2027" s="284"/>
    </row>
    <row r="2028" spans="1:24" ht="30" customHeight="1">
      <c r="A2028" s="20" t="s">
        <v>1310</v>
      </c>
      <c r="B2028" s="1224" t="s">
        <v>2723</v>
      </c>
      <c r="C2028" s="1224"/>
      <c r="D2028" s="1224"/>
      <c r="E2028" s="581">
        <f>+K23</f>
        <v>62194.548971962606</v>
      </c>
      <c r="F2028" s="586">
        <v>1</v>
      </c>
      <c r="G2028" s="286" t="s">
        <v>10</v>
      </c>
      <c r="H2028" s="286"/>
      <c r="I2028" s="530"/>
      <c r="J2028" s="531"/>
      <c r="K2028" s="581">
        <f>+E2028</f>
        <v>62194.548971962606</v>
      </c>
      <c r="L2028" s="97" t="s">
        <v>10</v>
      </c>
      <c r="M2028" s="1146"/>
      <c r="N2028" s="282"/>
      <c r="O2028" s="34"/>
      <c r="P2028" s="283"/>
      <c r="Q2028" s="282"/>
      <c r="R2028" s="284"/>
    </row>
    <row r="2029" spans="1:24" ht="30" customHeight="1" thickBot="1">
      <c r="A2029" s="20"/>
      <c r="B2029" s="1584" t="s">
        <v>2724</v>
      </c>
      <c r="C2029" s="1585"/>
      <c r="D2029" s="1586"/>
      <c r="E2029" s="181"/>
      <c r="F2029" s="338"/>
      <c r="G2029" s="181"/>
      <c r="H2029" s="339"/>
      <c r="I2029" s="18"/>
      <c r="J2029" s="79" t="s">
        <v>289</v>
      </c>
      <c r="K2029" s="502">
        <f>SUM(K2024:K2028)</f>
        <v>1392401.0918801385</v>
      </c>
      <c r="L2029" s="97" t="s">
        <v>10</v>
      </c>
      <c r="M2029" s="1146"/>
      <c r="N2029" s="1138"/>
      <c r="O2029"/>
      <c r="P2029" s="159"/>
      <c r="Q2029" s="147"/>
      <c r="R2029" s="149"/>
    </row>
    <row r="2030" spans="1:24" ht="30" customHeight="1" thickBot="1">
      <c r="A2030" s="1165"/>
      <c r="B2030" s="1166"/>
      <c r="C2030" s="1166"/>
      <c r="D2030" s="1166"/>
      <c r="E2030" s="1166"/>
      <c r="F2030" s="1166"/>
      <c r="G2030" s="1166"/>
      <c r="H2030" s="1166"/>
      <c r="I2030" s="1166"/>
      <c r="J2030" s="1166"/>
      <c r="K2030" s="1166"/>
      <c r="L2030" s="1167"/>
      <c r="M2030" s="1146"/>
      <c r="N2030" s="1138"/>
      <c r="O2030"/>
      <c r="P2030" s="159"/>
      <c r="Q2030" s="147"/>
      <c r="R2030" s="149"/>
    </row>
    <row r="2031" spans="1:24" ht="30" customHeight="1">
      <c r="A2031" s="27" t="s">
        <v>280</v>
      </c>
      <c r="B2031" s="28">
        <v>3904</v>
      </c>
      <c r="C2031" s="1393" t="s">
        <v>1315</v>
      </c>
      <c r="D2031" s="1394"/>
      <c r="E2031" s="30" t="s">
        <v>282</v>
      </c>
      <c r="F2031" s="31" t="s">
        <v>10</v>
      </c>
      <c r="G2031" s="58" t="s">
        <v>290</v>
      </c>
      <c r="H2031" s="76">
        <v>29760</v>
      </c>
      <c r="I2031" s="30" t="s">
        <v>283</v>
      </c>
      <c r="J2031" s="1199" t="s">
        <v>2532</v>
      </c>
      <c r="K2031" s="1230"/>
      <c r="L2031" s="1231"/>
      <c r="M2031" s="1146"/>
      <c r="N2031" s="1103"/>
      <c r="O2031"/>
      <c r="P2031" s="159"/>
      <c r="Q2031" s="147"/>
      <c r="R2031" s="149"/>
    </row>
    <row r="2032" spans="1:24" ht="30" customHeight="1">
      <c r="A2032" s="77" t="s">
        <v>293</v>
      </c>
      <c r="B2032" s="1299" t="s">
        <v>284</v>
      </c>
      <c r="C2032" s="1299"/>
      <c r="D2032" s="1299"/>
      <c r="E2032" s="35" t="s">
        <v>512</v>
      </c>
      <c r="F2032" s="35" t="s">
        <v>331</v>
      </c>
      <c r="G2032" s="1204" t="s">
        <v>332</v>
      </c>
      <c r="H2032" s="1205"/>
      <c r="I2032" s="279" t="s">
        <v>337</v>
      </c>
      <c r="J2032" s="35" t="s">
        <v>441</v>
      </c>
      <c r="K2032" s="1303" t="s">
        <v>297</v>
      </c>
      <c r="L2032" s="1304"/>
      <c r="M2032" s="1146"/>
      <c r="N2032" s="1103"/>
      <c r="O2032"/>
      <c r="P2032" s="159"/>
      <c r="Q2032" s="147"/>
      <c r="R2032" s="149"/>
      <c r="T2032" s="38"/>
      <c r="U2032" s="38"/>
      <c r="V2032" s="38"/>
      <c r="W2032" s="38"/>
      <c r="X2032" s="38"/>
    </row>
    <row r="2033" spans="1:24" s="38" customFormat="1" ht="30" customHeight="1">
      <c r="A2033" s="20">
        <v>21140</v>
      </c>
      <c r="B2033" s="1179" t="s">
        <v>1004</v>
      </c>
      <c r="C2033" s="1180"/>
      <c r="D2033" s="1181"/>
      <c r="E2033" s="581">
        <v>229</v>
      </c>
      <c r="F2033" s="586" t="s">
        <v>8</v>
      </c>
      <c r="G2033" s="355">
        <f>H2031</f>
        <v>29760</v>
      </c>
      <c r="H2033" s="286" t="s">
        <v>334</v>
      </c>
      <c r="I2033" s="1081">
        <v>1.07</v>
      </c>
      <c r="J2033" s="588">
        <f>+'2019 MILCON Inflation Table'!F10</f>
        <v>1.2327470846874402</v>
      </c>
      <c r="K2033" s="502">
        <f>+E2033*G2033*I2033*J2033</f>
        <v>8989306.1404702738</v>
      </c>
      <c r="L2033" s="97" t="s">
        <v>10</v>
      </c>
      <c r="M2033" s="1146"/>
      <c r="N2033" s="1103"/>
      <c r="P2033" s="159"/>
      <c r="Q2033" s="147"/>
      <c r="R2033" s="149"/>
      <c r="T2033"/>
      <c r="U2033"/>
      <c r="V2033"/>
      <c r="W2033"/>
      <c r="X2033"/>
    </row>
    <row r="2034" spans="1:24" ht="30" customHeight="1">
      <c r="A2034" s="256" t="s">
        <v>1316</v>
      </c>
      <c r="B2034" s="1307" t="s">
        <v>1317</v>
      </c>
      <c r="C2034" s="1307"/>
      <c r="D2034" s="1307"/>
      <c r="E2034" s="590">
        <v>9590000</v>
      </c>
      <c r="F2034" s="92" t="s">
        <v>10</v>
      </c>
      <c r="G2034" s="89" t="s">
        <v>428</v>
      </c>
      <c r="H2034" s="319"/>
      <c r="I2034" s="1081">
        <v>1.07</v>
      </c>
      <c r="J2034" s="591">
        <f>+'2019 MILCON Inflation Table'!F4</f>
        <v>1.2897000000000001</v>
      </c>
      <c r="K2034" s="592">
        <f>+E2034/I2034*J2034</f>
        <v>11559086.915887851</v>
      </c>
      <c r="L2034" s="40" t="s">
        <v>10</v>
      </c>
      <c r="M2034" s="1146"/>
      <c r="N2034" s="789"/>
      <c r="O2034"/>
      <c r="P2034" s="159"/>
      <c r="Q2034" s="147"/>
      <c r="R2034" s="149"/>
    </row>
    <row r="2035" spans="1:24" ht="30" customHeight="1">
      <c r="A2035" s="40"/>
      <c r="B2035" s="53"/>
      <c r="C2035" s="53"/>
      <c r="D2035" s="53"/>
      <c r="E2035" s="93"/>
      <c r="F2035" s="40"/>
      <c r="G2035" s="47"/>
      <c r="H2035" s="319"/>
      <c r="I2035" s="593"/>
      <c r="J2035" s="593" t="s">
        <v>311</v>
      </c>
      <c r="K2035" s="592">
        <f>AVERAGE(K2033:K2034)</f>
        <v>10274196.528179063</v>
      </c>
      <c r="L2035" s="40" t="s">
        <v>10</v>
      </c>
      <c r="M2035" s="1146"/>
      <c r="N2035" s="1103"/>
      <c r="O2035"/>
      <c r="P2035" s="159"/>
      <c r="Q2035" s="147"/>
      <c r="R2035" s="149"/>
    </row>
    <row r="2036" spans="1:24" ht="30" customHeight="1">
      <c r="A2036" s="45"/>
      <c r="B2036" s="1224" t="s">
        <v>2640</v>
      </c>
      <c r="C2036" s="1224"/>
      <c r="D2036" s="1224"/>
      <c r="F2036" s="46"/>
      <c r="G2036" s="1587" t="s">
        <v>1318</v>
      </c>
      <c r="H2036" s="1588"/>
      <c r="I2036" s="1589"/>
      <c r="J2036" s="37" t="s">
        <v>289</v>
      </c>
      <c r="K2036" s="86">
        <f>+K2035</f>
        <v>10274196.528179063</v>
      </c>
      <c r="L2036" s="45" t="s">
        <v>10</v>
      </c>
      <c r="M2036" s="1146"/>
      <c r="O2036" s="159"/>
      <c r="P2036" s="147"/>
      <c r="Q2036" s="149"/>
    </row>
    <row r="2037" spans="1:24" ht="30" customHeight="1" thickBot="1">
      <c r="A2037" s="1337" t="s">
        <v>2639</v>
      </c>
      <c r="B2037" s="1338"/>
      <c r="C2037" s="1338"/>
      <c r="D2037" s="1338"/>
      <c r="E2037" s="1338"/>
      <c r="F2037" s="1338"/>
      <c r="G2037" s="1338"/>
      <c r="H2037" s="1338"/>
      <c r="I2037" s="1338"/>
      <c r="J2037" s="1338"/>
      <c r="K2037" s="1338"/>
      <c r="L2037" s="1339"/>
      <c r="M2037" s="1146"/>
      <c r="N2037" s="1103"/>
      <c r="O2037"/>
      <c r="P2037" s="159"/>
      <c r="Q2037" s="147"/>
      <c r="R2037" s="149"/>
    </row>
    <row r="2038" spans="1:24" ht="30" customHeight="1" thickBot="1">
      <c r="A2038" s="1165"/>
      <c r="B2038" s="1166"/>
      <c r="C2038" s="1166"/>
      <c r="D2038" s="1166"/>
      <c r="E2038" s="1166"/>
      <c r="F2038" s="1166"/>
      <c r="G2038" s="1166"/>
      <c r="H2038" s="1166"/>
      <c r="I2038" s="1166"/>
      <c r="J2038" s="1166"/>
      <c r="K2038" s="1166"/>
      <c r="L2038" s="1167"/>
      <c r="M2038" s="1146"/>
      <c r="N2038" s="1103"/>
      <c r="O2038"/>
      <c r="P2038" s="159"/>
      <c r="Q2038" s="147"/>
      <c r="R2038" s="149"/>
    </row>
    <row r="2039" spans="1:24" ht="30" customHeight="1">
      <c r="A2039" s="81" t="s">
        <v>280</v>
      </c>
      <c r="B2039" s="82">
        <v>4114</v>
      </c>
      <c r="C2039" s="1526" t="s">
        <v>1319</v>
      </c>
      <c r="D2039" s="1527"/>
      <c r="E2039" s="30" t="s">
        <v>282</v>
      </c>
      <c r="F2039" s="31" t="s">
        <v>5</v>
      </c>
      <c r="G2039" s="58" t="s">
        <v>290</v>
      </c>
      <c r="H2039" s="215">
        <v>13764</v>
      </c>
      <c r="I2039" s="30" t="s">
        <v>283</v>
      </c>
      <c r="J2039" s="1310" t="s">
        <v>2529</v>
      </c>
      <c r="K2039" s="1310"/>
      <c r="L2039" s="1311"/>
      <c r="M2039" s="1146"/>
      <c r="N2039" s="1103"/>
      <c r="O2039"/>
      <c r="P2039" s="159"/>
      <c r="Q2039" s="147"/>
      <c r="R2039" s="149"/>
    </row>
    <row r="2040" spans="1:24" ht="30" customHeight="1">
      <c r="A2040" s="37" t="s">
        <v>304</v>
      </c>
      <c r="B2040" s="1300" t="s">
        <v>330</v>
      </c>
      <c r="C2040" s="1301"/>
      <c r="D2040" s="1302"/>
      <c r="E2040" s="362" t="s">
        <v>295</v>
      </c>
      <c r="F2040" s="362" t="s">
        <v>331</v>
      </c>
      <c r="G2040" s="1381" t="s">
        <v>332</v>
      </c>
      <c r="H2040" s="1382"/>
      <c r="I2040" s="77" t="s">
        <v>305</v>
      </c>
      <c r="J2040" s="35"/>
      <c r="K2040" s="1312" t="s">
        <v>297</v>
      </c>
      <c r="L2040" s="1313"/>
      <c r="M2040" s="1146"/>
      <c r="N2040" s="282"/>
      <c r="O2040" s="34"/>
      <c r="P2040" s="283"/>
      <c r="Q2040" s="282"/>
      <c r="R2040" s="284"/>
    </row>
    <row r="2041" spans="1:24" ht="30" customHeight="1">
      <c r="A2041" s="45" t="s">
        <v>1320</v>
      </c>
      <c r="B2041" s="1176" t="s">
        <v>2725</v>
      </c>
      <c r="C2041" s="1177"/>
      <c r="D2041" s="1178"/>
      <c r="E2041" s="153">
        <v>13000</v>
      </c>
      <c r="F2041" s="317" t="s">
        <v>10</v>
      </c>
      <c r="G2041" s="594">
        <v>1000</v>
      </c>
      <c r="H2041" s="141" t="s">
        <v>1321</v>
      </c>
      <c r="I2041" s="267">
        <v>1.08</v>
      </c>
      <c r="J2041" s="326"/>
      <c r="K2041" s="241">
        <f>+E2041/G2041*I2041</f>
        <v>14.040000000000001</v>
      </c>
      <c r="L2041" s="20" t="s">
        <v>5</v>
      </c>
      <c r="M2041" s="1146"/>
      <c r="N2041" s="282"/>
      <c r="O2041" s="34"/>
      <c r="P2041" s="283"/>
      <c r="Q2041" s="282"/>
      <c r="R2041" s="284"/>
    </row>
    <row r="2042" spans="1:24" ht="30" customHeight="1">
      <c r="A2042" s="45" t="s">
        <v>1320</v>
      </c>
      <c r="B2042" s="1176" t="s">
        <v>1322</v>
      </c>
      <c r="C2042" s="1177"/>
      <c r="D2042" s="1178"/>
      <c r="E2042" s="512">
        <v>4675</v>
      </c>
      <c r="F2042" s="317" t="s">
        <v>10</v>
      </c>
      <c r="G2042" s="594">
        <v>1500</v>
      </c>
      <c r="H2042" s="141" t="s">
        <v>1321</v>
      </c>
      <c r="I2042" s="267">
        <v>1.08</v>
      </c>
      <c r="J2042" s="326"/>
      <c r="K2042" s="241">
        <f>+E2042/G2042*I2042</f>
        <v>3.3660000000000001</v>
      </c>
      <c r="L2042" s="20" t="s">
        <v>5</v>
      </c>
      <c r="M2042" s="1146"/>
      <c r="N2042" s="1103"/>
      <c r="O2042"/>
      <c r="P2042" s="159"/>
      <c r="Q2042" s="147"/>
      <c r="R2042" s="149"/>
    </row>
    <row r="2043" spans="1:24" ht="30" customHeight="1">
      <c r="A2043" s="45"/>
      <c r="B2043" s="1176"/>
      <c r="C2043" s="1177"/>
      <c r="D2043" s="1178"/>
      <c r="E2043" s="23"/>
      <c r="F2043" s="317"/>
      <c r="G2043" s="363"/>
      <c r="H2043" s="267"/>
      <c r="I2043" s="267"/>
      <c r="J2043" s="595" t="s">
        <v>311</v>
      </c>
      <c r="K2043" s="241">
        <f>AVERAGE(K2041:K2042)</f>
        <v>8.7030000000000012</v>
      </c>
      <c r="L2043" s="20" t="s">
        <v>5</v>
      </c>
      <c r="M2043" s="1146"/>
      <c r="N2043" s="1103"/>
      <c r="O2043"/>
      <c r="P2043" s="159"/>
      <c r="Q2043" s="147"/>
      <c r="R2043" s="149"/>
    </row>
    <row r="2044" spans="1:24" ht="30" customHeight="1">
      <c r="A2044" s="45" t="s">
        <v>482</v>
      </c>
      <c r="B2044" s="1176" t="s">
        <v>1323</v>
      </c>
      <c r="C2044" s="1177"/>
      <c r="D2044" s="1178"/>
      <c r="E2044" s="153">
        <v>29.75</v>
      </c>
      <c r="F2044" s="317" t="s">
        <v>285</v>
      </c>
      <c r="G2044" s="596">
        <f>106.7/H2039</f>
        <v>7.7521069456553326E-3</v>
      </c>
      <c r="H2044" s="267" t="s">
        <v>1324</v>
      </c>
      <c r="I2044" s="20">
        <v>1.07</v>
      </c>
      <c r="J2044" s="326"/>
      <c r="K2044" s="241">
        <f>+E2044*G2044*I2044</f>
        <v>0.24676894434757338</v>
      </c>
      <c r="L2044" s="20" t="s">
        <v>5</v>
      </c>
      <c r="M2044" s="1146"/>
      <c r="N2044" s="1103"/>
      <c r="O2044"/>
      <c r="P2044" s="159"/>
      <c r="Q2044" s="147"/>
      <c r="R2044" s="149"/>
    </row>
    <row r="2045" spans="1:24" ht="30" customHeight="1">
      <c r="A2045" s="45" t="s">
        <v>508</v>
      </c>
      <c r="B2045" s="1176" t="s">
        <v>2726</v>
      </c>
      <c r="C2045" s="1177"/>
      <c r="D2045" s="1178"/>
      <c r="E2045" s="335">
        <v>34.5</v>
      </c>
      <c r="F2045" s="22" t="s">
        <v>344</v>
      </c>
      <c r="G2045" s="596">
        <f>130/H2039</f>
        <v>9.4449287997675092E-3</v>
      </c>
      <c r="H2045" s="333" t="s">
        <v>1325</v>
      </c>
      <c r="I2045" s="20">
        <v>1.08</v>
      </c>
      <c r="J2045" s="326"/>
      <c r="K2045" s="428">
        <f>+E2045*G2045*I2045*2</f>
        <v>0.70383609415867476</v>
      </c>
      <c r="L2045" s="22" t="s">
        <v>5</v>
      </c>
      <c r="M2045" s="1146"/>
      <c r="N2045" s="1103"/>
      <c r="O2045"/>
      <c r="P2045" s="159"/>
      <c r="Q2045" s="147"/>
      <c r="R2045" s="149"/>
      <c r="T2045" s="38"/>
      <c r="U2045" s="38"/>
      <c r="V2045" s="38"/>
      <c r="W2045" s="38"/>
      <c r="X2045" s="38"/>
    </row>
    <row r="2046" spans="1:24" s="38" customFormat="1" ht="30" customHeight="1">
      <c r="A2046" s="45" t="s">
        <v>482</v>
      </c>
      <c r="B2046" s="1179" t="s">
        <v>1326</v>
      </c>
      <c r="C2046" s="1180"/>
      <c r="D2046" s="1181"/>
      <c r="E2046" s="153">
        <f>+(0.61+4.54)/2</f>
        <v>2.5750000000000002</v>
      </c>
      <c r="F2046" s="317" t="s">
        <v>3</v>
      </c>
      <c r="G2046" s="314">
        <f>146.7/H2039</f>
        <v>1.0658238884045336E-2</v>
      </c>
      <c r="H2046" s="267" t="s">
        <v>1327</v>
      </c>
      <c r="I2046" s="20">
        <v>1.07</v>
      </c>
      <c r="J2046" s="326"/>
      <c r="K2046" s="241">
        <f>+E2046*G2046*I2046</f>
        <v>2.9366112685265913E-2</v>
      </c>
      <c r="L2046" s="20" t="s">
        <v>5</v>
      </c>
      <c r="M2046" s="1146"/>
      <c r="N2046" s="1103"/>
      <c r="P2046" s="159"/>
      <c r="Q2046" s="147"/>
      <c r="R2046" s="149"/>
      <c r="T2046"/>
      <c r="U2046"/>
      <c r="V2046"/>
      <c r="W2046"/>
      <c r="X2046"/>
    </row>
    <row r="2047" spans="1:24" ht="30" customHeight="1">
      <c r="A2047" s="45"/>
      <c r="B2047" s="1176" t="s">
        <v>1328</v>
      </c>
      <c r="C2047" s="1177"/>
      <c r="D2047" s="1177"/>
      <c r="E2047" s="1178"/>
      <c r="F2047" s="20"/>
      <c r="G2047" s="395"/>
      <c r="H2047" s="329"/>
      <c r="I2047" s="20"/>
      <c r="J2047" s="20" t="s">
        <v>346</v>
      </c>
      <c r="K2047" s="241">
        <f>+K2043+K2044+K2045+K2046</f>
        <v>9.6829711511915146</v>
      </c>
      <c r="L2047" s="20" t="s">
        <v>5</v>
      </c>
      <c r="M2047" s="1146"/>
      <c r="N2047" s="1103"/>
      <c r="O2047"/>
      <c r="P2047" s="159"/>
      <c r="Q2047" s="147"/>
      <c r="R2047" s="149"/>
    </row>
    <row r="2048" spans="1:24" ht="30" customHeight="1">
      <c r="A2048" s="45"/>
      <c r="B2048" s="157"/>
      <c r="C2048" s="157"/>
      <c r="D2048" s="157"/>
      <c r="E2048" s="153"/>
      <c r="F2048" s="1174" t="s">
        <v>308</v>
      </c>
      <c r="G2048" s="1171" t="s">
        <v>309</v>
      </c>
      <c r="H2048" s="1172"/>
      <c r="I2048" s="1172"/>
      <c r="J2048" s="1173"/>
      <c r="K2048" s="188">
        <v>1.06</v>
      </c>
      <c r="L2048" s="10"/>
      <c r="M2048" s="1146"/>
      <c r="N2048" s="1103"/>
      <c r="O2048"/>
      <c r="P2048" s="159"/>
      <c r="Q2048" s="147"/>
      <c r="R2048" s="149"/>
    </row>
    <row r="2049" spans="1:24" ht="30" customHeight="1">
      <c r="A2049" s="45"/>
      <c r="B2049" s="157"/>
      <c r="C2049" s="157"/>
      <c r="D2049" s="157"/>
      <c r="E2049" s="153"/>
      <c r="F2049" s="1175"/>
      <c r="G2049" s="1168" t="s">
        <v>310</v>
      </c>
      <c r="H2049" s="1169"/>
      <c r="I2049" s="1169"/>
      <c r="J2049" s="1170"/>
      <c r="K2049" s="123">
        <v>1.07</v>
      </c>
      <c r="L2049" s="10"/>
      <c r="M2049" s="1146"/>
      <c r="N2049" s="282"/>
      <c r="O2049" s="34"/>
      <c r="P2049" s="283"/>
      <c r="Q2049" s="282"/>
      <c r="R2049" s="284"/>
    </row>
    <row r="2050" spans="1:24" ht="30" customHeight="1">
      <c r="A2050" s="45"/>
      <c r="B2050" s="20"/>
      <c r="C2050" s="18"/>
      <c r="D2050" s="18"/>
      <c r="E2050" s="18"/>
      <c r="F2050" s="18"/>
      <c r="G2050" s="18"/>
      <c r="H2050" s="18"/>
      <c r="I2050" s="18"/>
      <c r="J2050" s="20" t="s">
        <v>289</v>
      </c>
      <c r="K2050" s="241">
        <f>+K2047*K2048/K2049</f>
        <v>9.5924760937037448</v>
      </c>
      <c r="L2050" s="20" t="s">
        <v>5</v>
      </c>
      <c r="M2050" s="1146"/>
      <c r="N2050" s="282"/>
      <c r="O2050" s="34"/>
      <c r="P2050" s="283"/>
      <c r="Q2050" s="282"/>
      <c r="R2050" s="284"/>
    </row>
    <row r="2051" spans="1:24" ht="30" customHeight="1" thickBot="1">
      <c r="A2051" s="45"/>
      <c r="B2051" s="20"/>
      <c r="C2051" s="18"/>
      <c r="D2051" s="18"/>
      <c r="E2051" s="18"/>
      <c r="F2051" s="18"/>
      <c r="G2051" s="13"/>
      <c r="H2051" s="18"/>
      <c r="I2051" s="597" t="s">
        <v>312</v>
      </c>
      <c r="J2051" s="139">
        <f>VLOOKUP(B2039,'Mil Cost Premiums for RUCs'!$A$4:$R$266,18,FALSE)</f>
        <v>1.0209999999999999</v>
      </c>
      <c r="K2051" s="241">
        <f>+K2050*J2051</f>
        <v>9.7939180916715234</v>
      </c>
      <c r="L2051" s="20" t="s">
        <v>5</v>
      </c>
      <c r="M2051" s="1146"/>
      <c r="N2051" s="1103"/>
      <c r="O2051"/>
      <c r="P2051" s="159"/>
      <c r="Q2051" s="147"/>
      <c r="R2051" s="149"/>
    </row>
    <row r="2052" spans="1:24" ht="30" customHeight="1" thickBot="1">
      <c r="A2052" s="1165"/>
      <c r="B2052" s="1166"/>
      <c r="C2052" s="1166"/>
      <c r="D2052" s="1166"/>
      <c r="E2052" s="1166"/>
      <c r="F2052" s="1166"/>
      <c r="G2052" s="1166"/>
      <c r="H2052" s="1166"/>
      <c r="I2052" s="1166"/>
      <c r="J2052" s="1166"/>
      <c r="K2052" s="1166"/>
      <c r="L2052" s="1167"/>
      <c r="M2052" s="1146"/>
      <c r="O2052" s="159"/>
      <c r="P2052" s="147"/>
    </row>
    <row r="2053" spans="1:24" ht="30" customHeight="1">
      <c r="A2053" s="27" t="s">
        <v>280</v>
      </c>
      <c r="B2053" s="28">
        <v>4121</v>
      </c>
      <c r="C2053" s="1215" t="s">
        <v>1329</v>
      </c>
      <c r="D2053" s="1216"/>
      <c r="E2053" s="30" t="s">
        <v>282</v>
      </c>
      <c r="F2053" s="31" t="s">
        <v>5</v>
      </c>
      <c r="G2053" s="58" t="s">
        <v>290</v>
      </c>
      <c r="H2053" s="104">
        <v>137858</v>
      </c>
      <c r="I2053" s="74" t="s">
        <v>283</v>
      </c>
      <c r="J2053" s="1199" t="s">
        <v>1330</v>
      </c>
      <c r="K2053" s="1230"/>
      <c r="L2053" s="1231"/>
      <c r="M2053" s="1146"/>
      <c r="O2053" s="159"/>
      <c r="P2053" s="147"/>
    </row>
    <row r="2054" spans="1:24" ht="30" customHeight="1">
      <c r="A2054" s="35" t="s">
        <v>293</v>
      </c>
      <c r="B2054" s="1299" t="s">
        <v>284</v>
      </c>
      <c r="C2054" s="1299"/>
      <c r="D2054" s="1299"/>
      <c r="E2054" s="310" t="s">
        <v>295</v>
      </c>
      <c r="F2054" s="35" t="s">
        <v>294</v>
      </c>
      <c r="G2054" s="1365" t="s">
        <v>332</v>
      </c>
      <c r="H2054" s="1366"/>
      <c r="I2054" s="1233" t="s">
        <v>426</v>
      </c>
      <c r="J2054" s="1234"/>
      <c r="K2054" s="1206" t="s">
        <v>297</v>
      </c>
      <c r="L2054" s="1207"/>
      <c r="M2054" s="1146"/>
      <c r="O2054" s="159"/>
      <c r="P2054" s="147"/>
      <c r="T2054" s="38"/>
      <c r="U2054" s="38"/>
      <c r="V2054" s="38"/>
      <c r="W2054" s="38"/>
      <c r="X2054" s="38"/>
    </row>
    <row r="2055" spans="1:24" s="38" customFormat="1" ht="30" customHeight="1">
      <c r="A2055" s="45">
        <v>41150</v>
      </c>
      <c r="B2055" s="1188" t="s">
        <v>1331</v>
      </c>
      <c r="C2055" s="1189"/>
      <c r="D2055" s="1190"/>
      <c r="E2055" s="213">
        <v>91</v>
      </c>
      <c r="F2055" s="598">
        <v>105000</v>
      </c>
      <c r="G2055" s="286">
        <v>42</v>
      </c>
      <c r="H2055" s="286" t="s">
        <v>1332</v>
      </c>
      <c r="I2055" s="1546">
        <f>+'2019 MILCON Inflation Table'!F10</f>
        <v>1.2327470846874402</v>
      </c>
      <c r="J2055" s="1547"/>
      <c r="K2055" s="106">
        <f>+E2055/G2055*I2055</f>
        <v>2.6709520168227869</v>
      </c>
      <c r="L2055" s="97" t="s">
        <v>5</v>
      </c>
      <c r="M2055" s="1146"/>
      <c r="N2055" s="193"/>
      <c r="O2055" s="159"/>
      <c r="P2055" s="147"/>
      <c r="T2055"/>
      <c r="U2055"/>
      <c r="V2055"/>
      <c r="W2055"/>
      <c r="X2055"/>
    </row>
    <row r="2056" spans="1:24" ht="30" customHeight="1" thickBot="1">
      <c r="A2056" s="45"/>
      <c r="B2056" s="1383" t="s">
        <v>1333</v>
      </c>
      <c r="C2056" s="1384"/>
      <c r="D2056" s="1385"/>
      <c r="E2056" s="70"/>
      <c r="F2056" s="359"/>
      <c r="G2056" s="70"/>
      <c r="H2056" s="312"/>
      <c r="I2056" s="46"/>
      <c r="J2056" s="37" t="s">
        <v>289</v>
      </c>
      <c r="K2056" s="87">
        <f>AVERAGE(K2055:K2055)</f>
        <v>2.6709520168227869</v>
      </c>
      <c r="L2056" s="48" t="s">
        <v>5</v>
      </c>
      <c r="M2056" s="1146"/>
      <c r="O2056" s="159"/>
      <c r="P2056" s="147"/>
    </row>
    <row r="2057" spans="1:24" ht="30" customHeight="1" thickBot="1">
      <c r="A2057" s="1165"/>
      <c r="B2057" s="1166"/>
      <c r="C2057" s="1166"/>
      <c r="D2057" s="1166"/>
      <c r="E2057" s="1166"/>
      <c r="F2057" s="1166"/>
      <c r="G2057" s="1166"/>
      <c r="H2057" s="1166"/>
      <c r="I2057" s="1166"/>
      <c r="J2057" s="1166"/>
      <c r="K2057" s="1166"/>
      <c r="L2057" s="1167"/>
      <c r="M2057" s="1146"/>
      <c r="O2057" s="159"/>
      <c r="P2057" s="147"/>
      <c r="Q2057" s="149"/>
    </row>
    <row r="2058" spans="1:24" ht="30" customHeight="1">
      <c r="A2058" s="81" t="s">
        <v>280</v>
      </c>
      <c r="B2058" s="82">
        <v>4211</v>
      </c>
      <c r="C2058" s="1228" t="s">
        <v>1334</v>
      </c>
      <c r="D2058" s="1229"/>
      <c r="E2058" s="74" t="s">
        <v>282</v>
      </c>
      <c r="F2058" s="75" t="s">
        <v>8</v>
      </c>
      <c r="G2058" s="58" t="s">
        <v>290</v>
      </c>
      <c r="H2058" s="104">
        <v>2715</v>
      </c>
      <c r="I2058" s="74" t="s">
        <v>283</v>
      </c>
      <c r="J2058" s="1199" t="s">
        <v>2569</v>
      </c>
      <c r="K2058" s="1230"/>
      <c r="L2058" s="1231"/>
      <c r="M2058" s="1146"/>
      <c r="O2058" s="159"/>
      <c r="P2058" s="147"/>
    </row>
    <row r="2059" spans="1:24" ht="30" customHeight="1">
      <c r="A2059" s="35" t="s">
        <v>293</v>
      </c>
      <c r="B2059" s="1232" t="s">
        <v>284</v>
      </c>
      <c r="C2059" s="1232"/>
      <c r="D2059" s="1232"/>
      <c r="E2059" s="310" t="s">
        <v>295</v>
      </c>
      <c r="F2059" s="35" t="s">
        <v>294</v>
      </c>
      <c r="G2059" s="1365" t="s">
        <v>332</v>
      </c>
      <c r="H2059" s="1366"/>
      <c r="I2059" s="1233" t="s">
        <v>426</v>
      </c>
      <c r="J2059" s="1234"/>
      <c r="K2059" s="1206" t="s">
        <v>297</v>
      </c>
      <c r="L2059" s="1207"/>
      <c r="M2059" s="1146"/>
      <c r="O2059" s="159"/>
      <c r="P2059" s="147"/>
    </row>
    <row r="2060" spans="1:24" ht="30" customHeight="1">
      <c r="A2060" s="65">
        <v>42120</v>
      </c>
      <c r="B2060" s="1222" t="s">
        <v>1335</v>
      </c>
      <c r="C2060" s="1222"/>
      <c r="D2060" s="1222"/>
      <c r="E2060" s="213">
        <v>357</v>
      </c>
      <c r="F2060" s="598">
        <v>13800</v>
      </c>
      <c r="G2060" s="286"/>
      <c r="H2060" s="286"/>
      <c r="I2060" s="1546">
        <f>+'2019 MILCON Inflation Table'!F18</f>
        <v>0.94232233454704462</v>
      </c>
      <c r="J2060" s="1547"/>
      <c r="K2060" s="590">
        <f>+E2060*I2060</f>
        <v>336.40907343329491</v>
      </c>
      <c r="L2060" s="65" t="s">
        <v>8</v>
      </c>
      <c r="M2060" s="1146"/>
      <c r="N2060" s="282"/>
      <c r="O2060" s="34"/>
      <c r="P2060" s="283"/>
      <c r="Q2060" s="282"/>
      <c r="R2060" s="284"/>
    </row>
    <row r="2061" spans="1:24" ht="30" customHeight="1" thickBot="1">
      <c r="A2061" s="20"/>
      <c r="B2061" s="1224"/>
      <c r="C2061" s="1224"/>
      <c r="D2061" s="1224"/>
      <c r="E2061" s="1225"/>
      <c r="F2061" s="1226"/>
      <c r="G2061" s="1226"/>
      <c r="H2061" s="1227"/>
      <c r="I2061" s="18"/>
      <c r="J2061" s="79" t="s">
        <v>289</v>
      </c>
      <c r="K2061" s="107">
        <f>+K2060</f>
        <v>336.40907343329491</v>
      </c>
      <c r="L2061" s="20" t="s">
        <v>8</v>
      </c>
      <c r="M2061" s="1146"/>
      <c r="N2061" s="1103"/>
      <c r="O2061"/>
      <c r="P2061" s="159"/>
      <c r="Q2061" s="147"/>
      <c r="R2061" s="149"/>
    </row>
    <row r="2062" spans="1:24" ht="30" customHeight="1" thickBot="1">
      <c r="A2062" s="1165"/>
      <c r="B2062" s="1166"/>
      <c r="C2062" s="1166"/>
      <c r="D2062" s="1166"/>
      <c r="E2062" s="1166"/>
      <c r="F2062" s="1166"/>
      <c r="G2062" s="1166"/>
      <c r="H2062" s="1166"/>
      <c r="I2062" s="1166"/>
      <c r="J2062" s="1166"/>
      <c r="K2062" s="1166"/>
      <c r="L2062" s="1167"/>
      <c r="M2062" s="1146"/>
      <c r="N2062" s="1103"/>
      <c r="O2062"/>
      <c r="P2062" s="159"/>
      <c r="Q2062" s="147"/>
      <c r="R2062" s="149"/>
    </row>
    <row r="2063" spans="1:24" ht="30" customHeight="1">
      <c r="A2063" s="27" t="s">
        <v>280</v>
      </c>
      <c r="B2063" s="28">
        <v>4212</v>
      </c>
      <c r="C2063" s="1215" t="s">
        <v>1336</v>
      </c>
      <c r="D2063" s="1216"/>
      <c r="E2063" s="74" t="s">
        <v>282</v>
      </c>
      <c r="F2063" s="75" t="s">
        <v>8</v>
      </c>
      <c r="G2063" s="58" t="s">
        <v>290</v>
      </c>
      <c r="H2063" s="215">
        <v>3089</v>
      </c>
      <c r="I2063" s="74" t="s">
        <v>283</v>
      </c>
      <c r="J2063" s="1199" t="s">
        <v>2529</v>
      </c>
      <c r="K2063" s="1199"/>
      <c r="L2063" s="1200"/>
      <c r="M2063" s="1146"/>
      <c r="N2063" s="1103"/>
      <c r="O2063"/>
      <c r="P2063" s="159"/>
      <c r="Q2063" s="147"/>
      <c r="R2063" s="149"/>
    </row>
    <row r="2064" spans="1:24" ht="30" customHeight="1">
      <c r="A2064" s="37" t="s">
        <v>304</v>
      </c>
      <c r="B2064" s="1300" t="s">
        <v>330</v>
      </c>
      <c r="C2064" s="1301"/>
      <c r="D2064" s="1302"/>
      <c r="E2064" s="150" t="s">
        <v>295</v>
      </c>
      <c r="F2064" s="150" t="s">
        <v>331</v>
      </c>
      <c r="G2064" s="1204" t="s">
        <v>332</v>
      </c>
      <c r="H2064" s="1205"/>
      <c r="I2064" s="77" t="s">
        <v>305</v>
      </c>
      <c r="J2064" s="77"/>
      <c r="K2064" s="1206" t="s">
        <v>297</v>
      </c>
      <c r="L2064" s="1207"/>
      <c r="M2064" s="1146"/>
      <c r="N2064" s="1103"/>
      <c r="O2064"/>
      <c r="P2064" s="159"/>
      <c r="Q2064" s="147"/>
      <c r="R2064" s="149"/>
    </row>
    <row r="2065" spans="1:24" ht="30" customHeight="1">
      <c r="A2065" s="45" t="s">
        <v>459</v>
      </c>
      <c r="B2065" s="1188" t="s">
        <v>1337</v>
      </c>
      <c r="C2065" s="1189"/>
      <c r="D2065" s="1190"/>
      <c r="E2065" s="153">
        <f>149.46-2.29</f>
        <v>147.17000000000002</v>
      </c>
      <c r="F2065" s="20" t="s">
        <v>8</v>
      </c>
      <c r="G2065" s="206"/>
      <c r="H2065" s="20"/>
      <c r="I2065" s="20">
        <v>1.05</v>
      </c>
      <c r="J2065" s="326"/>
      <c r="K2065" s="153">
        <f>+E2065*I2065</f>
        <v>154.52850000000004</v>
      </c>
      <c r="L2065" s="20" t="s">
        <v>8</v>
      </c>
      <c r="M2065" s="1146"/>
      <c r="N2065" s="1103"/>
      <c r="O2065"/>
      <c r="P2065" s="159"/>
      <c r="Q2065" s="147"/>
      <c r="R2065" s="149"/>
    </row>
    <row r="2066" spans="1:24" ht="30" customHeight="1">
      <c r="A2066" s="45" t="s">
        <v>461</v>
      </c>
      <c r="B2066" s="1176" t="s">
        <v>1338</v>
      </c>
      <c r="C2066" s="1177"/>
      <c r="D2066" s="1178"/>
      <c r="E2066" s="512">
        <v>132000</v>
      </c>
      <c r="F2066" s="20" t="s">
        <v>10</v>
      </c>
      <c r="G2066" s="513">
        <f>+H2063</f>
        <v>3089</v>
      </c>
      <c r="H2066" s="329" t="s">
        <v>1102</v>
      </c>
      <c r="I2066" s="20">
        <v>1.07</v>
      </c>
      <c r="J2066" s="326"/>
      <c r="K2066" s="153">
        <f>+E2066/G2066*I2066*1</f>
        <v>45.723535124635809</v>
      </c>
      <c r="L2066" s="20" t="s">
        <v>8</v>
      </c>
      <c r="M2066" s="1146"/>
      <c r="N2066" s="1103"/>
      <c r="O2066"/>
      <c r="P2066" s="159"/>
      <c r="Q2066" s="147"/>
      <c r="R2066" s="149"/>
    </row>
    <row r="2067" spans="1:24" ht="30" customHeight="1">
      <c r="A2067" s="45" t="s">
        <v>461</v>
      </c>
      <c r="B2067" s="1176" t="s">
        <v>1339</v>
      </c>
      <c r="C2067" s="1177"/>
      <c r="D2067" s="1178"/>
      <c r="E2067" s="153">
        <f>(228+250)/2</f>
        <v>239</v>
      </c>
      <c r="F2067" s="317" t="s">
        <v>6</v>
      </c>
      <c r="G2067" s="395">
        <v>120</v>
      </c>
      <c r="H2067" s="329" t="s">
        <v>1166</v>
      </c>
      <c r="I2067" s="20">
        <v>1.07</v>
      </c>
      <c r="J2067" s="326"/>
      <c r="K2067" s="153">
        <f>+(E2067*G2067)/$G$2066*I2067</f>
        <v>9.9344771770799625</v>
      </c>
      <c r="L2067" s="20" t="s">
        <v>8</v>
      </c>
      <c r="M2067" s="1146"/>
      <c r="N2067" s="1103"/>
      <c r="O2067"/>
      <c r="P2067" s="159"/>
      <c r="Q2067" s="147"/>
      <c r="R2067" s="149"/>
    </row>
    <row r="2068" spans="1:24" ht="30" customHeight="1">
      <c r="A2068" s="45" t="s">
        <v>461</v>
      </c>
      <c r="B2068" s="1176" t="s">
        <v>1165</v>
      </c>
      <c r="C2068" s="1177"/>
      <c r="D2068" s="1178"/>
      <c r="E2068" s="153">
        <f>+(22.2+44.75)/2</f>
        <v>33.475000000000001</v>
      </c>
      <c r="F2068" s="20" t="s">
        <v>6</v>
      </c>
      <c r="G2068" s="395">
        <v>120</v>
      </c>
      <c r="H2068" s="329"/>
      <c r="I2068" s="20">
        <v>1.07</v>
      </c>
      <c r="J2068" s="326"/>
      <c r="K2068" s="153">
        <f>+(E2068*G2068)/$G$2066*I2068</f>
        <v>1.3914503075428943</v>
      </c>
      <c r="L2068" s="20" t="s">
        <v>8</v>
      </c>
      <c r="M2068" s="1146"/>
      <c r="N2068" s="1103"/>
      <c r="O2068"/>
      <c r="P2068" s="159"/>
      <c r="Q2068" s="147"/>
      <c r="R2068" s="149"/>
    </row>
    <row r="2069" spans="1:24" ht="30" customHeight="1">
      <c r="A2069" s="45" t="s">
        <v>377</v>
      </c>
      <c r="B2069" s="1383" t="s">
        <v>1340</v>
      </c>
      <c r="C2069" s="1384"/>
      <c r="D2069" s="1384"/>
      <c r="E2069" s="153">
        <v>5.0599999999999996</v>
      </c>
      <c r="F2069" s="317" t="s">
        <v>8</v>
      </c>
      <c r="G2069" s="395"/>
      <c r="H2069" s="329"/>
      <c r="I2069" s="20">
        <v>1.05</v>
      </c>
      <c r="J2069" s="326"/>
      <c r="K2069" s="153">
        <f>+E2069*I2069</f>
        <v>5.3129999999999997</v>
      </c>
      <c r="L2069" s="20" t="s">
        <v>8</v>
      </c>
      <c r="M2069" s="1146"/>
      <c r="N2069" s="1103"/>
      <c r="O2069"/>
      <c r="P2069" s="159"/>
      <c r="Q2069" s="147"/>
      <c r="R2069" s="149"/>
    </row>
    <row r="2070" spans="1:24" ht="30" customHeight="1">
      <c r="A2070" s="45"/>
      <c r="B2070" s="1307"/>
      <c r="C2070" s="1307"/>
      <c r="D2070" s="1307"/>
      <c r="E2070" s="153"/>
      <c r="F2070" s="20"/>
      <c r="G2070" s="395"/>
      <c r="H2070" s="329"/>
      <c r="I2070" s="20"/>
      <c r="J2070" s="20" t="s">
        <v>346</v>
      </c>
      <c r="K2070" s="153">
        <f>SUM(K2065:K2069)</f>
        <v>216.89096260925871</v>
      </c>
      <c r="L2070" s="20" t="s">
        <v>8</v>
      </c>
      <c r="M2070" s="1146"/>
      <c r="N2070" s="1103"/>
      <c r="O2070"/>
      <c r="P2070" s="159"/>
      <c r="Q2070" s="147"/>
      <c r="R2070" s="149"/>
    </row>
    <row r="2071" spans="1:24" ht="30" customHeight="1">
      <c r="A2071" s="45"/>
      <c r="B2071" s="1194" t="s">
        <v>2868</v>
      </c>
      <c r="C2071" s="1195"/>
      <c r="D2071" s="1196"/>
      <c r="E2071" s="153"/>
      <c r="F2071" s="1174" t="s">
        <v>308</v>
      </c>
      <c r="G2071" s="1208" t="s">
        <v>309</v>
      </c>
      <c r="H2071" s="1208"/>
      <c r="I2071" s="1208"/>
      <c r="J2071" s="1208"/>
      <c r="K2071" s="326">
        <v>1.06</v>
      </c>
      <c r="L2071" s="10"/>
      <c r="M2071" s="1146"/>
      <c r="N2071" s="1103"/>
      <c r="O2071"/>
      <c r="P2071" s="159"/>
      <c r="Q2071" s="147"/>
      <c r="R2071" s="149"/>
    </row>
    <row r="2072" spans="1:24" ht="30" customHeight="1">
      <c r="A2072" s="45"/>
      <c r="B2072" s="189"/>
      <c r="C2072" s="189"/>
      <c r="D2072" s="189"/>
      <c r="E2072" s="153"/>
      <c r="F2072" s="1175"/>
      <c r="G2072" s="1209" t="s">
        <v>310</v>
      </c>
      <c r="H2072" s="1209"/>
      <c r="I2072" s="1209"/>
      <c r="J2072" s="1209"/>
      <c r="K2072" s="123">
        <v>1.07</v>
      </c>
      <c r="L2072" s="10"/>
      <c r="M2072" s="1146"/>
      <c r="N2072" s="1103"/>
      <c r="O2072"/>
      <c r="P2072" s="159"/>
      <c r="Q2072" s="147"/>
      <c r="R2072" s="149"/>
    </row>
    <row r="2073" spans="1:24" ht="30" customHeight="1">
      <c r="A2073" s="45"/>
      <c r="B2073" s="1742" t="s">
        <v>1341</v>
      </c>
      <c r="C2073" s="1743"/>
      <c r="D2073" s="1744"/>
      <c r="E2073" s="46"/>
      <c r="F2073" s="46"/>
      <c r="G2073" s="46"/>
      <c r="H2073" s="46"/>
      <c r="I2073" s="46"/>
      <c r="J2073" s="45" t="s">
        <v>289</v>
      </c>
      <c r="K2073" s="21">
        <f>+K2070*K2071/K2072</f>
        <v>214.8639442671161</v>
      </c>
      <c r="L2073" s="45" t="s">
        <v>8</v>
      </c>
      <c r="M2073" s="1146"/>
      <c r="N2073" s="1103"/>
      <c r="O2073"/>
      <c r="P2073" s="159"/>
      <c r="Q2073" s="147"/>
      <c r="R2073" s="149"/>
    </row>
    <row r="2074" spans="1:24" ht="30" customHeight="1" thickBot="1">
      <c r="A2074" s="45"/>
      <c r="B2074" s="1590" t="s">
        <v>2727</v>
      </c>
      <c r="C2074" s="1591"/>
      <c r="D2074" s="1592"/>
      <c r="E2074" s="46"/>
      <c r="F2074" s="46"/>
      <c r="G2074" s="176" t="s">
        <v>312</v>
      </c>
      <c r="H2074" s="46"/>
      <c r="I2074" s="46"/>
      <c r="J2074" s="139">
        <f>VLOOKUP(B2063,'Mil Cost Premiums for RUCs'!$A$4:$R$266,18,FALSE)</f>
        <v>1.1932356231980656</v>
      </c>
      <c r="K2074" s="21">
        <f>+K2073*J2074</f>
        <v>256.38331244036669</v>
      </c>
      <c r="L2074" s="45" t="s">
        <v>8</v>
      </c>
      <c r="M2074" s="1146"/>
      <c r="N2074" s="1103"/>
      <c r="O2074"/>
      <c r="P2074" s="159"/>
      <c r="Q2074" s="147"/>
      <c r="R2074" s="149"/>
      <c r="T2074" s="38"/>
      <c r="U2074" s="38"/>
      <c r="V2074" s="38"/>
      <c r="W2074" s="38"/>
      <c r="X2074" s="38"/>
    </row>
    <row r="2075" spans="1:24" s="38" customFormat="1" ht="30" customHeight="1" thickBot="1">
      <c r="A2075" s="1165"/>
      <c r="B2075" s="1166"/>
      <c r="C2075" s="1166"/>
      <c r="D2075" s="1166"/>
      <c r="E2075" s="1166"/>
      <c r="F2075" s="1166"/>
      <c r="G2075" s="1166"/>
      <c r="H2075" s="1166"/>
      <c r="I2075" s="1166"/>
      <c r="J2075" s="1166"/>
      <c r="K2075" s="1166"/>
      <c r="L2075" s="1167"/>
      <c r="M2075" s="1146"/>
      <c r="N2075" s="1103"/>
      <c r="P2075" s="159"/>
      <c r="Q2075" s="147"/>
      <c r="R2075" s="149"/>
      <c r="T2075"/>
      <c r="U2075"/>
      <c r="V2075"/>
      <c r="W2075"/>
      <c r="X2075"/>
    </row>
    <row r="2076" spans="1:24" ht="30" customHeight="1">
      <c r="A2076" s="81" t="s">
        <v>280</v>
      </c>
      <c r="B2076" s="82">
        <v>4221</v>
      </c>
      <c r="C2076" s="1228" t="s">
        <v>1342</v>
      </c>
      <c r="D2076" s="1229"/>
      <c r="E2076" s="74" t="s">
        <v>282</v>
      </c>
      <c r="F2076" s="75" t="s">
        <v>8</v>
      </c>
      <c r="G2076" s="58" t="s">
        <v>290</v>
      </c>
      <c r="H2076" s="104">
        <v>2308</v>
      </c>
      <c r="I2076" s="74" t="s">
        <v>283</v>
      </c>
      <c r="J2076" s="1199" t="s">
        <v>358</v>
      </c>
      <c r="K2076" s="1230"/>
      <c r="L2076" s="1231"/>
      <c r="M2076" s="1146"/>
      <c r="N2076" s="1103"/>
      <c r="O2076"/>
      <c r="P2076" s="159"/>
      <c r="Q2076" s="147"/>
      <c r="R2076" s="149"/>
    </row>
    <row r="2077" spans="1:24" ht="30" customHeight="1">
      <c r="A2077" s="35" t="s">
        <v>293</v>
      </c>
      <c r="B2077" s="1232" t="s">
        <v>284</v>
      </c>
      <c r="C2077" s="1232"/>
      <c r="D2077" s="1232"/>
      <c r="E2077" s="96" t="s">
        <v>295</v>
      </c>
      <c r="F2077" s="77" t="s">
        <v>294</v>
      </c>
      <c r="G2077" s="1365" t="s">
        <v>332</v>
      </c>
      <c r="H2077" s="1366"/>
      <c r="I2077" s="1233" t="s">
        <v>426</v>
      </c>
      <c r="J2077" s="1234"/>
      <c r="K2077" s="1206" t="s">
        <v>297</v>
      </c>
      <c r="L2077" s="1207"/>
      <c r="M2077" s="1146"/>
      <c r="N2077" s="1103"/>
      <c r="O2077"/>
      <c r="P2077" s="159"/>
      <c r="Q2077" s="147"/>
      <c r="R2077" s="149"/>
    </row>
    <row r="2078" spans="1:24" ht="30" customHeight="1">
      <c r="A2078" s="65">
        <v>42183</v>
      </c>
      <c r="B2078" s="1222" t="s">
        <v>1343</v>
      </c>
      <c r="C2078" s="1222"/>
      <c r="D2078" s="1222"/>
      <c r="E2078" s="153">
        <v>519</v>
      </c>
      <c r="F2078" s="316">
        <v>9600</v>
      </c>
      <c r="G2078" s="286"/>
      <c r="H2078" s="286"/>
      <c r="I2078" s="1546">
        <f>+'2019 MILCON Inflation Table'!F17</f>
        <v>0.96116878123798544</v>
      </c>
      <c r="J2078" s="1547"/>
      <c r="K2078" s="590">
        <f>+E2078*I2078</f>
        <v>498.84659746251447</v>
      </c>
      <c r="L2078" s="65" t="s">
        <v>8</v>
      </c>
      <c r="M2078" s="1146"/>
      <c r="N2078" s="1103"/>
      <c r="O2078"/>
      <c r="P2078" s="159"/>
      <c r="Q2078" s="147"/>
      <c r="R2078" s="149"/>
    </row>
    <row r="2079" spans="1:24" ht="30" customHeight="1" thickBot="1">
      <c r="A2079" s="20"/>
      <c r="B2079" s="1224"/>
      <c r="C2079" s="1224"/>
      <c r="D2079" s="1224"/>
      <c r="E2079" s="1225"/>
      <c r="F2079" s="1226"/>
      <c r="G2079" s="1226"/>
      <c r="H2079" s="1227"/>
      <c r="I2079" s="18"/>
      <c r="J2079" s="79" t="s">
        <v>289</v>
      </c>
      <c r="K2079" s="107">
        <f>+K2078</f>
        <v>498.84659746251447</v>
      </c>
      <c r="L2079" s="20" t="s">
        <v>8</v>
      </c>
      <c r="M2079" s="1146"/>
      <c r="N2079" s="1103"/>
      <c r="O2079"/>
      <c r="P2079" s="159"/>
      <c r="Q2079" s="147"/>
      <c r="R2079" s="149"/>
    </row>
    <row r="2080" spans="1:24" ht="30" customHeight="1" thickBot="1">
      <c r="A2080" s="1165"/>
      <c r="B2080" s="1166"/>
      <c r="C2080" s="1166"/>
      <c r="D2080" s="1166"/>
      <c r="E2080" s="1166"/>
      <c r="F2080" s="1166"/>
      <c r="G2080" s="1166"/>
      <c r="H2080" s="1166"/>
      <c r="I2080" s="1166"/>
      <c r="J2080" s="1166"/>
      <c r="K2080" s="1166"/>
      <c r="L2080" s="1167"/>
      <c r="M2080" s="1146"/>
      <c r="N2080" s="1103"/>
      <c r="O2080"/>
      <c r="P2080" s="159"/>
      <c r="Q2080" s="147"/>
      <c r="R2080" s="149"/>
    </row>
    <row r="2081" spans="1:24" ht="30" customHeight="1">
      <c r="A2081" s="81" t="s">
        <v>280</v>
      </c>
      <c r="B2081" s="82">
        <v>4222</v>
      </c>
      <c r="C2081" s="1228" t="s">
        <v>1344</v>
      </c>
      <c r="D2081" s="1229"/>
      <c r="E2081" s="74" t="s">
        <v>282</v>
      </c>
      <c r="F2081" s="75" t="s">
        <v>8</v>
      </c>
      <c r="G2081" s="58" t="s">
        <v>290</v>
      </c>
      <c r="H2081" s="104">
        <v>10950</v>
      </c>
      <c r="I2081" s="74" t="s">
        <v>283</v>
      </c>
      <c r="J2081" s="1199" t="s">
        <v>2569</v>
      </c>
      <c r="K2081" s="1230"/>
      <c r="L2081" s="1231"/>
      <c r="M2081" s="1146"/>
      <c r="N2081" s="282"/>
      <c r="O2081" s="34"/>
      <c r="P2081" s="283"/>
      <c r="Q2081" s="282"/>
      <c r="R2081" s="284"/>
    </row>
    <row r="2082" spans="1:24" ht="30" customHeight="1">
      <c r="A2082" s="77" t="s">
        <v>293</v>
      </c>
      <c r="B2082" s="1232" t="s">
        <v>284</v>
      </c>
      <c r="C2082" s="1232"/>
      <c r="D2082" s="1232"/>
      <c r="E2082" s="96" t="s">
        <v>295</v>
      </c>
      <c r="F2082" s="77" t="s">
        <v>294</v>
      </c>
      <c r="G2082" s="1365" t="s">
        <v>2</v>
      </c>
      <c r="H2082" s="1366"/>
      <c r="I2082" s="1233" t="s">
        <v>426</v>
      </c>
      <c r="J2082" s="1234"/>
      <c r="K2082" s="1206" t="s">
        <v>297</v>
      </c>
      <c r="L2082" s="1207"/>
      <c r="M2082" s="1146"/>
      <c r="N2082" s="282"/>
      <c r="O2082" s="34"/>
      <c r="P2082" s="283"/>
      <c r="Q2082" s="282"/>
      <c r="R2082" s="284"/>
    </row>
    <row r="2083" spans="1:24" ht="30" customHeight="1">
      <c r="A2083" s="20">
        <v>44222</v>
      </c>
      <c r="B2083" s="1179" t="s">
        <v>1345</v>
      </c>
      <c r="C2083" s="1180"/>
      <c r="D2083" s="1181"/>
      <c r="E2083" s="153">
        <v>75</v>
      </c>
      <c r="F2083" s="316">
        <v>2250</v>
      </c>
      <c r="G2083" s="286" t="s">
        <v>8</v>
      </c>
      <c r="H2083" s="286"/>
      <c r="I2083" s="1192">
        <f>+'2019 MILCON Inflation Table'!F18</f>
        <v>0.94232233454704462</v>
      </c>
      <c r="J2083" s="1193"/>
      <c r="K2083" s="106">
        <f>+E2083*I2083</f>
        <v>70.674175091028346</v>
      </c>
      <c r="L2083" s="97" t="s">
        <v>8</v>
      </c>
      <c r="M2083" s="1146"/>
      <c r="N2083" s="1103"/>
      <c r="O2083"/>
      <c r="P2083" s="159"/>
      <c r="Q2083" s="147"/>
      <c r="R2083" s="149"/>
    </row>
    <row r="2084" spans="1:24" ht="30" customHeight="1" thickBot="1">
      <c r="A2084" s="20"/>
      <c r="B2084" s="1179"/>
      <c r="C2084" s="1180"/>
      <c r="D2084" s="1181"/>
      <c r="E2084" s="181"/>
      <c r="F2084" s="338"/>
      <c r="G2084" s="181"/>
      <c r="H2084" s="339"/>
      <c r="I2084" s="18"/>
      <c r="J2084" s="79" t="s">
        <v>289</v>
      </c>
      <c r="K2084" s="107">
        <f>AVERAGE(K2083:K2083)</f>
        <v>70.674175091028346</v>
      </c>
      <c r="L2084" s="97" t="s">
        <v>8</v>
      </c>
      <c r="M2084" s="1146"/>
      <c r="N2084" s="1103"/>
      <c r="O2084"/>
      <c r="P2084" s="159"/>
      <c r="Q2084" s="147"/>
      <c r="R2084" s="149"/>
    </row>
    <row r="2085" spans="1:24" ht="30" customHeight="1" thickBot="1">
      <c r="A2085" s="1165">
        <v>111</v>
      </c>
      <c r="B2085" s="1166"/>
      <c r="C2085" s="1166"/>
      <c r="D2085" s="1166"/>
      <c r="E2085" s="1166"/>
      <c r="F2085" s="1166"/>
      <c r="G2085" s="1166"/>
      <c r="H2085" s="1166"/>
      <c r="I2085" s="1166"/>
      <c r="J2085" s="1166"/>
      <c r="K2085" s="1166"/>
      <c r="L2085" s="1167"/>
      <c r="M2085" s="1146"/>
      <c r="N2085" s="1103"/>
      <c r="O2085"/>
      <c r="P2085" s="159"/>
      <c r="Q2085" s="147"/>
      <c r="R2085" s="149"/>
    </row>
    <row r="2086" spans="1:24" ht="30" customHeight="1">
      <c r="A2086" s="27" t="s">
        <v>280</v>
      </c>
      <c r="B2086" s="82">
        <v>4231</v>
      </c>
      <c r="C2086" s="1228" t="s">
        <v>1346</v>
      </c>
      <c r="D2086" s="1229"/>
      <c r="E2086" s="74" t="s">
        <v>282</v>
      </c>
      <c r="F2086" s="75" t="s">
        <v>5</v>
      </c>
      <c r="G2086" s="58" t="s">
        <v>290</v>
      </c>
      <c r="H2086" s="215">
        <v>19536</v>
      </c>
      <c r="I2086" s="74" t="s">
        <v>283</v>
      </c>
      <c r="J2086" s="1310" t="s">
        <v>2529</v>
      </c>
      <c r="K2086" s="1310"/>
      <c r="L2086" s="1311"/>
      <c r="M2086" s="1146"/>
      <c r="N2086" s="1103"/>
      <c r="O2086"/>
      <c r="P2086" s="159"/>
      <c r="Q2086" s="147"/>
      <c r="R2086" s="149"/>
    </row>
    <row r="2087" spans="1:24" ht="30" customHeight="1">
      <c r="A2087" s="37" t="s">
        <v>304</v>
      </c>
      <c r="B2087" s="1201" t="s">
        <v>330</v>
      </c>
      <c r="C2087" s="1202"/>
      <c r="D2087" s="1203"/>
      <c r="E2087" s="150"/>
      <c r="F2087" s="150" t="s">
        <v>331</v>
      </c>
      <c r="G2087" s="1204" t="s">
        <v>332</v>
      </c>
      <c r="H2087" s="1205"/>
      <c r="I2087" s="77" t="s">
        <v>305</v>
      </c>
      <c r="J2087" s="77"/>
      <c r="K2087" s="1206" t="s">
        <v>297</v>
      </c>
      <c r="L2087" s="1207"/>
      <c r="M2087" s="1146"/>
      <c r="N2087" s="1103"/>
      <c r="O2087"/>
      <c r="P2087" s="159"/>
      <c r="Q2087" s="147"/>
      <c r="R2087" s="149"/>
    </row>
    <row r="2088" spans="1:24" ht="30" customHeight="1">
      <c r="A2088" s="45" t="s">
        <v>369</v>
      </c>
      <c r="B2088" s="1179" t="s">
        <v>371</v>
      </c>
      <c r="C2088" s="1180"/>
      <c r="D2088" s="1181"/>
      <c r="E2088" s="153">
        <v>115000</v>
      </c>
      <c r="F2088" s="20" t="s">
        <v>10</v>
      </c>
      <c r="G2088" s="510">
        <f>+H2086</f>
        <v>19536</v>
      </c>
      <c r="H2088" s="251" t="s">
        <v>1347</v>
      </c>
      <c r="I2088" s="20">
        <v>1.08</v>
      </c>
      <c r="J2088" s="20"/>
      <c r="K2088" s="153">
        <f>+E2088/G2088*I2088</f>
        <v>6.357493857493858</v>
      </c>
      <c r="L2088" s="20" t="s">
        <v>5</v>
      </c>
      <c r="M2088" s="1146"/>
      <c r="N2088" s="1103"/>
      <c r="O2088"/>
      <c r="P2088" s="159"/>
      <c r="Q2088" s="147"/>
      <c r="R2088" s="149"/>
    </row>
    <row r="2089" spans="1:24" ht="30" customHeight="1">
      <c r="A2089" s="45"/>
      <c r="B2089" s="157"/>
      <c r="C2089" s="157"/>
      <c r="D2089" s="157"/>
      <c r="E2089" s="153"/>
      <c r="F2089" s="1174" t="s">
        <v>308</v>
      </c>
      <c r="G2089" s="1208" t="s">
        <v>309</v>
      </c>
      <c r="H2089" s="1208"/>
      <c r="I2089" s="1208"/>
      <c r="J2089" s="1208"/>
      <c r="K2089" s="326">
        <v>1.06</v>
      </c>
      <c r="L2089" s="10"/>
      <c r="M2089" s="1146"/>
      <c r="N2089" s="1103"/>
      <c r="O2089"/>
      <c r="P2089" s="159"/>
      <c r="Q2089" s="147"/>
      <c r="R2089" s="149"/>
    </row>
    <row r="2090" spans="1:24" ht="30" customHeight="1">
      <c r="A2090" s="45"/>
      <c r="B2090" s="157"/>
      <c r="C2090" s="157"/>
      <c r="D2090" s="157"/>
      <c r="E2090" s="153"/>
      <c r="F2090" s="1175"/>
      <c r="G2090" s="1209" t="s">
        <v>310</v>
      </c>
      <c r="H2090" s="1209"/>
      <c r="I2090" s="1209"/>
      <c r="J2090" s="1209"/>
      <c r="K2090" s="123">
        <v>1.07</v>
      </c>
      <c r="L2090" s="10"/>
      <c r="M2090" s="1146"/>
      <c r="N2090" s="1103"/>
      <c r="O2090"/>
      <c r="P2090" s="159"/>
      <c r="Q2090" s="147"/>
      <c r="R2090" s="149"/>
    </row>
    <row r="2091" spans="1:24" ht="30" customHeight="1">
      <c r="A2091" s="45"/>
      <c r="B2091" s="20"/>
      <c r="C2091" s="18"/>
      <c r="D2091" s="18"/>
      <c r="E2091" s="18"/>
      <c r="F2091" s="18"/>
      <c r="G2091" s="18"/>
      <c r="H2091" s="18"/>
      <c r="I2091" s="18"/>
      <c r="J2091" s="20" t="s">
        <v>289</v>
      </c>
      <c r="K2091" s="23">
        <f>+K2088*K2089/K2090</f>
        <v>6.2980780270499901</v>
      </c>
      <c r="L2091" s="20" t="s">
        <v>5</v>
      </c>
      <c r="M2091" s="1146"/>
      <c r="N2091" s="1103"/>
      <c r="O2091"/>
      <c r="P2091" s="159"/>
      <c r="Q2091" s="147"/>
      <c r="R2091" s="149"/>
    </row>
    <row r="2092" spans="1:24" ht="30" customHeight="1" thickBot="1">
      <c r="A2092" s="45"/>
      <c r="B2092" s="20"/>
      <c r="C2092" s="18"/>
      <c r="D2092" s="18"/>
      <c r="E2092" s="18"/>
      <c r="F2092" s="18"/>
      <c r="G2092" s="13"/>
      <c r="H2092" s="18"/>
      <c r="I2092" s="597" t="s">
        <v>312</v>
      </c>
      <c r="J2092" s="139">
        <f>VLOOKUP(B2086,'Mil Cost Premiums for RUCs'!$A$4:$R$266,18,FALSE)</f>
        <v>1.0209999999999999</v>
      </c>
      <c r="K2092" s="23">
        <f>+K2091*J2092</f>
        <v>6.4303376656180395</v>
      </c>
      <c r="L2092" s="20" t="s">
        <v>5</v>
      </c>
      <c r="M2092" s="1146"/>
      <c r="N2092" s="1103"/>
      <c r="O2092"/>
      <c r="P2092" s="159"/>
      <c r="Q2092" s="147"/>
      <c r="R2092" s="149"/>
    </row>
    <row r="2093" spans="1:24" ht="30" customHeight="1" thickBot="1">
      <c r="A2093" s="1165"/>
      <c r="B2093" s="1166"/>
      <c r="C2093" s="1166"/>
      <c r="D2093" s="1166"/>
      <c r="E2093" s="1166"/>
      <c r="F2093" s="1166"/>
      <c r="G2093" s="1166"/>
      <c r="H2093" s="1166"/>
      <c r="I2093" s="1166"/>
      <c r="J2093" s="1166"/>
      <c r="K2093" s="1166"/>
      <c r="L2093" s="1167"/>
      <c r="M2093" s="1146"/>
      <c r="N2093" s="1103"/>
      <c r="O2093"/>
      <c r="P2093" s="159"/>
      <c r="Q2093" s="147"/>
      <c r="R2093" s="149"/>
    </row>
    <row r="2094" spans="1:24" ht="30" customHeight="1">
      <c r="A2094" s="81" t="s">
        <v>280</v>
      </c>
      <c r="B2094" s="82">
        <v>4241</v>
      </c>
      <c r="C2094" s="1228" t="s">
        <v>1348</v>
      </c>
      <c r="D2094" s="1229"/>
      <c r="E2094" s="74" t="s">
        <v>282</v>
      </c>
      <c r="F2094" s="75" t="s">
        <v>8</v>
      </c>
      <c r="G2094" s="58" t="s">
        <v>290</v>
      </c>
      <c r="H2094" s="104">
        <v>1439</v>
      </c>
      <c r="I2094" s="74" t="s">
        <v>283</v>
      </c>
      <c r="J2094" s="1199" t="s">
        <v>1349</v>
      </c>
      <c r="K2094" s="1230"/>
      <c r="L2094" s="1231"/>
      <c r="M2094" s="1146"/>
      <c r="N2094" s="1103"/>
      <c r="O2094"/>
      <c r="P2094" s="159"/>
      <c r="Q2094" s="147"/>
      <c r="R2094" s="149"/>
    </row>
    <row r="2095" spans="1:24" ht="30" customHeight="1">
      <c r="A2095" s="77" t="s">
        <v>293</v>
      </c>
      <c r="B2095" s="1232" t="s">
        <v>284</v>
      </c>
      <c r="C2095" s="1232"/>
      <c r="D2095" s="1232"/>
      <c r="E2095" s="96" t="s">
        <v>295</v>
      </c>
      <c r="F2095" s="77" t="s">
        <v>294</v>
      </c>
      <c r="G2095" s="1365" t="s">
        <v>2</v>
      </c>
      <c r="H2095" s="1366"/>
      <c r="I2095" s="1233" t="s">
        <v>426</v>
      </c>
      <c r="J2095" s="1234"/>
      <c r="K2095" s="1312" t="s">
        <v>297</v>
      </c>
      <c r="L2095" s="1313"/>
      <c r="M2095" s="1146"/>
      <c r="N2095" s="1103"/>
      <c r="O2095"/>
      <c r="P2095" s="159"/>
      <c r="Q2095" s="147"/>
      <c r="R2095" s="149"/>
    </row>
    <row r="2096" spans="1:24" ht="30" customHeight="1">
      <c r="A2096" s="20">
        <v>21850</v>
      </c>
      <c r="B2096" s="1179" t="s">
        <v>1350</v>
      </c>
      <c r="C2096" s="1180"/>
      <c r="D2096" s="1181"/>
      <c r="E2096" s="153">
        <v>147</v>
      </c>
      <c r="F2096" s="316">
        <v>5000</v>
      </c>
      <c r="G2096" s="286" t="s">
        <v>8</v>
      </c>
      <c r="H2096" s="286"/>
      <c r="I2096" s="1192">
        <f>+'2019 MILCON Inflation Table'!$F$8</f>
        <v>1.2987915407854984</v>
      </c>
      <c r="J2096" s="1193"/>
      <c r="K2096" s="106">
        <f>+E2096*I2096</f>
        <v>190.92235649546828</v>
      </c>
      <c r="L2096" s="97" t="s">
        <v>8</v>
      </c>
      <c r="M2096" s="1146"/>
      <c r="N2096" s="1103"/>
      <c r="O2096"/>
      <c r="P2096" s="159"/>
      <c r="Q2096" s="147"/>
      <c r="R2096" s="149"/>
      <c r="T2096" s="38"/>
      <c r="U2096" s="38"/>
      <c r="V2096" s="38"/>
      <c r="W2096" s="38"/>
      <c r="X2096" s="38"/>
    </row>
    <row r="2097" spans="1:24" s="38" customFormat="1" ht="30" customHeight="1">
      <c r="A2097" s="20">
        <v>43211</v>
      </c>
      <c r="B2097" s="207" t="s">
        <v>1351</v>
      </c>
      <c r="C2097" s="208"/>
      <c r="D2097" s="155"/>
      <c r="E2097" s="153">
        <v>242</v>
      </c>
      <c r="F2097" s="316">
        <v>6000</v>
      </c>
      <c r="G2097" s="286" t="s">
        <v>8</v>
      </c>
      <c r="H2097" s="286"/>
      <c r="I2097" s="1192">
        <f>+'2019 MILCON Inflation Table'!$F$8</f>
        <v>1.2987915407854984</v>
      </c>
      <c r="J2097" s="1193"/>
      <c r="K2097" s="106">
        <f>+E2097*I2097</f>
        <v>314.3075528700906</v>
      </c>
      <c r="L2097" s="97" t="s">
        <v>8</v>
      </c>
      <c r="M2097" s="1146"/>
      <c r="N2097" s="1103"/>
      <c r="P2097" s="159"/>
      <c r="Q2097" s="147"/>
      <c r="R2097" s="149"/>
      <c r="T2097"/>
      <c r="U2097"/>
      <c r="V2097"/>
      <c r="W2097"/>
      <c r="X2097"/>
    </row>
    <row r="2098" spans="1:24" ht="30" customHeight="1">
      <c r="A2098" s="20"/>
      <c r="B2098" s="207"/>
      <c r="C2098" s="208"/>
      <c r="D2098" s="155"/>
      <c r="E2098" s="287"/>
      <c r="F2098" s="527"/>
      <c r="G2098" s="528"/>
      <c r="H2098" s="529"/>
      <c r="I2098" s="600"/>
      <c r="J2098" s="588" t="s">
        <v>311</v>
      </c>
      <c r="K2098" s="106">
        <f>AVERAGE(K2096:K2097)</f>
        <v>252.61495468277946</v>
      </c>
      <c r="L2098" s="97" t="s">
        <v>8</v>
      </c>
      <c r="M2098" s="1146"/>
      <c r="N2098" s="1103"/>
      <c r="O2098"/>
      <c r="P2098" s="159"/>
      <c r="Q2098" s="147"/>
      <c r="R2098" s="149"/>
    </row>
    <row r="2099" spans="1:24" ht="30" customHeight="1" thickBot="1">
      <c r="A2099" s="20"/>
      <c r="B2099" s="1179"/>
      <c r="C2099" s="1180"/>
      <c r="D2099" s="1181"/>
      <c r="E2099" s="181"/>
      <c r="F2099" s="338"/>
      <c r="G2099" s="181"/>
      <c r="H2099" s="339"/>
      <c r="I2099" s="18"/>
      <c r="J2099" s="79" t="s">
        <v>289</v>
      </c>
      <c r="K2099" s="107">
        <f>+K2098</f>
        <v>252.61495468277946</v>
      </c>
      <c r="L2099" s="97" t="s">
        <v>8</v>
      </c>
      <c r="M2099" s="1146"/>
      <c r="N2099" s="1103"/>
      <c r="O2099"/>
      <c r="P2099" s="159"/>
      <c r="Q2099" s="147"/>
      <c r="R2099" s="149"/>
    </row>
    <row r="2100" spans="1:24" ht="30" customHeight="1" thickBot="1">
      <c r="A2100" s="1165"/>
      <c r="B2100" s="1166"/>
      <c r="C2100" s="1166"/>
      <c r="D2100" s="1166"/>
      <c r="E2100" s="1166"/>
      <c r="F2100" s="1166"/>
      <c r="G2100" s="1166"/>
      <c r="H2100" s="1166"/>
      <c r="I2100" s="1166"/>
      <c r="J2100" s="1166"/>
      <c r="K2100" s="1166"/>
      <c r="L2100" s="1167"/>
      <c r="M2100" s="1146"/>
      <c r="N2100" s="1103"/>
      <c r="O2100"/>
      <c r="P2100" s="159"/>
      <c r="Q2100" s="147"/>
      <c r="R2100" s="149"/>
    </row>
    <row r="2101" spans="1:24" ht="30" customHeight="1">
      <c r="A2101" s="108" t="s">
        <v>280</v>
      </c>
      <c r="B2101" s="163">
        <v>4251</v>
      </c>
      <c r="C2101" s="1596" t="s">
        <v>1352</v>
      </c>
      <c r="D2101" s="1410"/>
      <c r="E2101" s="216" t="s">
        <v>282</v>
      </c>
      <c r="F2101" s="217" t="s">
        <v>3</v>
      </c>
      <c r="G2101" s="58" t="s">
        <v>290</v>
      </c>
      <c r="H2101" s="218">
        <v>1744</v>
      </c>
      <c r="I2101" s="216" t="s">
        <v>283</v>
      </c>
      <c r="J2101" s="1199" t="s">
        <v>2529</v>
      </c>
      <c r="K2101" s="1199"/>
      <c r="L2101" s="1200"/>
      <c r="M2101" s="1146"/>
      <c r="N2101" s="1103"/>
      <c r="O2101"/>
      <c r="P2101" s="159"/>
      <c r="Q2101" s="147"/>
      <c r="R2101" s="149"/>
    </row>
    <row r="2102" spans="1:24" ht="30" customHeight="1">
      <c r="A2102" s="294" t="s">
        <v>304</v>
      </c>
      <c r="B2102" s="1324" t="s">
        <v>330</v>
      </c>
      <c r="C2102" s="1325"/>
      <c r="D2102" s="1326"/>
      <c r="E2102" s="219" t="s">
        <v>295</v>
      </c>
      <c r="F2102" s="219" t="s">
        <v>331</v>
      </c>
      <c r="G2102" s="1327" t="s">
        <v>332</v>
      </c>
      <c r="H2102" s="1328"/>
      <c r="I2102" s="167" t="s">
        <v>305</v>
      </c>
      <c r="J2102" s="167"/>
      <c r="K2102" s="1206" t="s">
        <v>297</v>
      </c>
      <c r="L2102" s="1207"/>
      <c r="M2102" s="1146"/>
      <c r="N2102" s="1103"/>
      <c r="O2102"/>
      <c r="P2102" s="159"/>
      <c r="Q2102" s="147"/>
      <c r="R2102" s="149"/>
    </row>
    <row r="2103" spans="1:24" ht="30" customHeight="1">
      <c r="A2103" s="24" t="s">
        <v>342</v>
      </c>
      <c r="B2103" s="1182" t="s">
        <v>1353</v>
      </c>
      <c r="C2103" s="1183"/>
      <c r="D2103" s="1184"/>
      <c r="E2103" s="153">
        <v>0.71</v>
      </c>
      <c r="F2103" s="10" t="s">
        <v>8</v>
      </c>
      <c r="G2103" s="494">
        <v>9</v>
      </c>
      <c r="H2103" s="10" t="s">
        <v>1354</v>
      </c>
      <c r="I2103" s="10">
        <v>1.05</v>
      </c>
      <c r="J2103" s="10"/>
      <c r="K2103" s="115">
        <f>+E2103*I2103*G2103</f>
        <v>6.7094999999999994</v>
      </c>
      <c r="L2103" s="10" t="s">
        <v>3</v>
      </c>
      <c r="M2103" s="1146"/>
      <c r="N2103" s="282"/>
      <c r="O2103" s="34"/>
      <c r="P2103" s="283"/>
      <c r="Q2103" s="282"/>
      <c r="R2103" s="284"/>
    </row>
    <row r="2104" spans="1:24" ht="30" customHeight="1">
      <c r="A2104" s="24" t="s">
        <v>342</v>
      </c>
      <c r="B2104" s="1162" t="s">
        <v>1355</v>
      </c>
      <c r="C2104" s="1163"/>
      <c r="D2104" s="1164"/>
      <c r="E2104" s="512">
        <v>2.12</v>
      </c>
      <c r="F2104" s="10" t="s">
        <v>8</v>
      </c>
      <c r="G2104" s="494">
        <v>9</v>
      </c>
      <c r="H2104" s="10" t="s">
        <v>1354</v>
      </c>
      <c r="I2104" s="10">
        <v>1.05</v>
      </c>
      <c r="J2104" s="10"/>
      <c r="K2104" s="115">
        <f>+E2104*I2104*G2104</f>
        <v>20.034000000000002</v>
      </c>
      <c r="L2104" s="10" t="s">
        <v>3</v>
      </c>
      <c r="M2104" s="1146"/>
      <c r="N2104" s="282"/>
      <c r="O2104" s="34"/>
      <c r="P2104" s="283"/>
      <c r="Q2104" s="282"/>
      <c r="R2104" s="284"/>
    </row>
    <row r="2105" spans="1:24" ht="30" customHeight="1">
      <c r="A2105" s="24" t="s">
        <v>342</v>
      </c>
      <c r="B2105" s="1182" t="s">
        <v>1356</v>
      </c>
      <c r="C2105" s="1183"/>
      <c r="D2105" s="1183"/>
      <c r="E2105" s="153">
        <v>3.75</v>
      </c>
      <c r="F2105" s="401" t="s">
        <v>8</v>
      </c>
      <c r="G2105" s="494">
        <v>9</v>
      </c>
      <c r="H2105" s="10" t="s">
        <v>1354</v>
      </c>
      <c r="I2105" s="10">
        <v>1.05</v>
      </c>
      <c r="J2105" s="10"/>
      <c r="K2105" s="115">
        <f>+E2105*I2105*G2105</f>
        <v>35.4375</v>
      </c>
      <c r="L2105" s="10" t="s">
        <v>3</v>
      </c>
      <c r="M2105" s="1146"/>
      <c r="N2105" s="1103"/>
      <c r="O2105"/>
      <c r="P2105" s="159"/>
      <c r="Q2105" s="147"/>
      <c r="R2105" s="149"/>
    </row>
    <row r="2106" spans="1:24" ht="30" customHeight="1">
      <c r="A2106" s="24"/>
      <c r="B2106" s="1162"/>
      <c r="C2106" s="1163"/>
      <c r="D2106" s="1164"/>
      <c r="E2106" s="115"/>
      <c r="F2106" s="10"/>
      <c r="G2106" s="13"/>
      <c r="H2106" s="13"/>
      <c r="I2106" s="1168" t="s">
        <v>1357</v>
      </c>
      <c r="J2106" s="1170"/>
      <c r="K2106" s="168">
        <f>AVERAGE(K2104:K2105)</f>
        <v>27.735750000000003</v>
      </c>
      <c r="L2106" s="10" t="s">
        <v>3</v>
      </c>
      <c r="M2106" s="1146"/>
      <c r="N2106" s="1103"/>
      <c r="O2106"/>
      <c r="P2106" s="159"/>
      <c r="Q2106" s="147"/>
      <c r="R2106" s="149"/>
    </row>
    <row r="2107" spans="1:24" ht="30" customHeight="1">
      <c r="A2107" s="24"/>
      <c r="B2107" s="1593"/>
      <c r="C2107" s="1594"/>
      <c r="D2107" s="1595"/>
      <c r="E2107" s="115"/>
      <c r="F2107" s="401"/>
      <c r="G2107" s="494"/>
      <c r="H2107" s="10"/>
      <c r="I2107" s="10"/>
      <c r="J2107" s="10" t="s">
        <v>346</v>
      </c>
      <c r="K2107" s="115">
        <f>+K2106+K2103</f>
        <v>34.445250000000001</v>
      </c>
      <c r="L2107" s="10" t="s">
        <v>3</v>
      </c>
      <c r="M2107" s="1146"/>
      <c r="N2107" s="1103"/>
      <c r="O2107"/>
      <c r="P2107" s="159"/>
      <c r="Q2107" s="147"/>
      <c r="R2107" s="149"/>
    </row>
    <row r="2108" spans="1:24" ht="30" customHeight="1">
      <c r="A2108" s="45"/>
      <c r="B2108" s="157"/>
      <c r="C2108" s="157"/>
      <c r="D2108" s="157"/>
      <c r="E2108" s="153"/>
      <c r="F2108" s="1174" t="s">
        <v>308</v>
      </c>
      <c r="G2108" s="1208" t="s">
        <v>309</v>
      </c>
      <c r="H2108" s="1208"/>
      <c r="I2108" s="1208"/>
      <c r="J2108" s="1208"/>
      <c r="K2108" s="326">
        <v>1.06</v>
      </c>
      <c r="L2108" s="10"/>
      <c r="M2108" s="1146"/>
      <c r="N2108" s="1103"/>
      <c r="O2108"/>
      <c r="P2108" s="159"/>
      <c r="Q2108" s="147"/>
      <c r="R2108" s="149"/>
      <c r="T2108" s="38"/>
      <c r="U2108" s="38"/>
      <c r="V2108" s="38"/>
      <c r="W2108" s="38"/>
      <c r="X2108" s="38"/>
    </row>
    <row r="2109" spans="1:24" s="38" customFormat="1" ht="30" customHeight="1">
      <c r="A2109" s="45"/>
      <c r="B2109" s="157"/>
      <c r="C2109" s="157"/>
      <c r="D2109" s="157"/>
      <c r="E2109" s="153"/>
      <c r="F2109" s="1175"/>
      <c r="G2109" s="1209" t="s">
        <v>310</v>
      </c>
      <c r="H2109" s="1209"/>
      <c r="I2109" s="1209"/>
      <c r="J2109" s="1209"/>
      <c r="K2109" s="123">
        <v>1.07</v>
      </c>
      <c r="L2109" s="10"/>
      <c r="M2109" s="1146"/>
      <c r="N2109" s="1103"/>
      <c r="P2109" s="159"/>
      <c r="Q2109" s="147"/>
      <c r="R2109" s="149"/>
      <c r="T2109"/>
      <c r="U2109"/>
      <c r="V2109"/>
      <c r="W2109"/>
      <c r="X2109"/>
    </row>
    <row r="2110" spans="1:24" ht="30" customHeight="1">
      <c r="A2110" s="24"/>
      <c r="B2110" s="1162"/>
      <c r="C2110" s="1163"/>
      <c r="D2110" s="1164"/>
      <c r="E2110" s="115"/>
      <c r="F2110" s="401"/>
      <c r="G2110" s="402"/>
      <c r="H2110" s="403"/>
      <c r="I2110" s="1288" t="s">
        <v>289</v>
      </c>
      <c r="J2110" s="1289"/>
      <c r="K2110" s="14">
        <f>+K2107*K2108/K2109</f>
        <v>34.123331775700933</v>
      </c>
      <c r="L2110" s="10" t="s">
        <v>3</v>
      </c>
      <c r="M2110" s="1146"/>
      <c r="N2110" s="1103"/>
      <c r="O2110"/>
      <c r="P2110" s="159"/>
      <c r="Q2110" s="147"/>
      <c r="R2110" s="149"/>
    </row>
    <row r="2111" spans="1:24" ht="30" customHeight="1">
      <c r="A2111" s="24"/>
      <c r="B2111" s="601"/>
      <c r="C2111" s="602"/>
      <c r="D2111" s="439"/>
      <c r="E2111" s="115"/>
      <c r="F2111" s="401"/>
      <c r="G2111" s="226"/>
      <c r="H2111" s="403"/>
      <c r="I2111" s="603" t="s">
        <v>385</v>
      </c>
      <c r="J2111" s="139">
        <f>VLOOKUP(B2101,'Mil Cost Premiums for RUCs'!$A$4:$R$266,18,FALSE)</f>
        <v>1.0905505199999999</v>
      </c>
      <c r="K2111" s="14">
        <f>+K2110*J2111</f>
        <v>37.213217212123169</v>
      </c>
      <c r="L2111" s="10" t="s">
        <v>3</v>
      </c>
      <c r="M2111" s="1146"/>
      <c r="N2111" s="1103"/>
      <c r="O2111"/>
      <c r="P2111" s="159"/>
      <c r="Q2111" s="147"/>
      <c r="R2111" s="149"/>
    </row>
    <row r="2112" spans="1:24" ht="60" customHeight="1">
      <c r="A2112" s="1337" t="s">
        <v>313</v>
      </c>
      <c r="B2112" s="1338"/>
      <c r="C2112" s="1338"/>
      <c r="D2112" s="1338"/>
      <c r="E2112" s="1338"/>
      <c r="F2112" s="1338"/>
      <c r="G2112" s="1338"/>
      <c r="H2112" s="1338"/>
      <c r="I2112" s="1338"/>
      <c r="J2112" s="1338"/>
      <c r="K2112" s="1338"/>
      <c r="L2112" s="1339"/>
      <c r="M2112" s="1146"/>
      <c r="N2112" s="1103"/>
      <c r="O2112"/>
      <c r="P2112" s="159"/>
      <c r="Q2112" s="147"/>
      <c r="R2112" s="149"/>
    </row>
    <row r="2113" spans="1:24" ht="30" customHeight="1">
      <c r="A2113" s="1516" t="s">
        <v>314</v>
      </c>
      <c r="B2113" s="1517"/>
      <c r="C2113" s="1518"/>
      <c r="D2113" s="1270" t="s">
        <v>1358</v>
      </c>
      <c r="E2113" s="1371"/>
      <c r="F2113" s="1371"/>
      <c r="G2113" s="1371"/>
      <c r="H2113" s="1371"/>
      <c r="I2113" s="1371"/>
      <c r="J2113" s="1371"/>
      <c r="K2113" s="1371"/>
      <c r="L2113" s="1372"/>
      <c r="M2113" s="1146"/>
      <c r="N2113" s="1103"/>
      <c r="O2113"/>
      <c r="P2113" s="159"/>
      <c r="Q2113" s="147"/>
      <c r="R2113" s="149"/>
    </row>
    <row r="2114" spans="1:24" ht="30" customHeight="1">
      <c r="A2114" s="1516" t="s">
        <v>316</v>
      </c>
      <c r="B2114" s="1517"/>
      <c r="C2114" s="1518"/>
      <c r="D2114" s="1270" t="s">
        <v>1359</v>
      </c>
      <c r="E2114" s="1371"/>
      <c r="F2114" s="1371"/>
      <c r="G2114" s="1371"/>
      <c r="H2114" s="1371"/>
      <c r="I2114" s="1371"/>
      <c r="J2114" s="1371"/>
      <c r="K2114" s="1371"/>
      <c r="L2114" s="1372"/>
      <c r="M2114" s="1146"/>
      <c r="N2114" s="1103"/>
      <c r="O2114"/>
      <c r="P2114" s="159"/>
      <c r="Q2114" s="147"/>
      <c r="R2114" s="149"/>
    </row>
    <row r="2115" spans="1:24" ht="30" customHeight="1">
      <c r="A2115" s="1516" t="s">
        <v>317</v>
      </c>
      <c r="B2115" s="1517"/>
      <c r="C2115" s="1518"/>
      <c r="D2115" s="1270" t="s">
        <v>2729</v>
      </c>
      <c r="E2115" s="1371"/>
      <c r="F2115" s="1371"/>
      <c r="G2115" s="1371"/>
      <c r="H2115" s="1371"/>
      <c r="I2115" s="1371"/>
      <c r="J2115" s="1371"/>
      <c r="K2115" s="1371"/>
      <c r="L2115" s="1372"/>
      <c r="M2115" s="1146"/>
      <c r="N2115" s="282"/>
      <c r="O2115" s="34"/>
      <c r="P2115" s="283"/>
      <c r="Q2115" s="282"/>
      <c r="R2115" s="284"/>
    </row>
    <row r="2116" spans="1:24" ht="30" customHeight="1">
      <c r="A2116" s="1516" t="s">
        <v>318</v>
      </c>
      <c r="B2116" s="1517"/>
      <c r="C2116" s="1518"/>
      <c r="D2116" s="1270" t="s">
        <v>1360</v>
      </c>
      <c r="E2116" s="1371"/>
      <c r="F2116" s="1371"/>
      <c r="G2116" s="1371"/>
      <c r="H2116" s="1371"/>
      <c r="I2116" s="1371"/>
      <c r="J2116" s="1371"/>
      <c r="K2116" s="1371"/>
      <c r="L2116" s="1372"/>
      <c r="M2116" s="1146"/>
      <c r="N2116" s="282"/>
      <c r="O2116" s="34"/>
      <c r="P2116" s="283"/>
      <c r="Q2116" s="282"/>
      <c r="R2116" s="284"/>
    </row>
    <row r="2117" spans="1:24" ht="30" customHeight="1">
      <c r="A2117" s="1516" t="s">
        <v>320</v>
      </c>
      <c r="B2117" s="1517"/>
      <c r="C2117" s="1518"/>
      <c r="D2117" s="1270" t="s">
        <v>1361</v>
      </c>
      <c r="E2117" s="1371"/>
      <c r="F2117" s="1371"/>
      <c r="G2117" s="1371"/>
      <c r="H2117" s="1371"/>
      <c r="I2117" s="1371"/>
      <c r="J2117" s="1371"/>
      <c r="K2117" s="1371"/>
      <c r="L2117" s="1372"/>
      <c r="M2117" s="1146"/>
      <c r="N2117" s="1103"/>
      <c r="O2117"/>
      <c r="P2117" s="159"/>
      <c r="Q2117" s="147"/>
      <c r="R2117" s="149"/>
      <c r="T2117" s="32"/>
      <c r="U2117" s="34"/>
    </row>
    <row r="2118" spans="1:24" ht="30" customHeight="1">
      <c r="A2118" s="1516" t="s">
        <v>322</v>
      </c>
      <c r="B2118" s="1517"/>
      <c r="C2118" s="1518"/>
      <c r="D2118" s="1270" t="s">
        <v>323</v>
      </c>
      <c r="E2118" s="1371"/>
      <c r="F2118" s="1371"/>
      <c r="G2118" s="1371"/>
      <c r="H2118" s="1371"/>
      <c r="I2118" s="1371"/>
      <c r="J2118" s="1371"/>
      <c r="K2118" s="1371"/>
      <c r="L2118" s="1372"/>
      <c r="M2118" s="1146"/>
      <c r="N2118" s="125"/>
      <c r="O2118" s="33"/>
      <c r="P2118" s="32"/>
      <c r="Q2118" s="32"/>
      <c r="R2118" s="32"/>
      <c r="S2118" s="32"/>
      <c r="T2118" s="32"/>
      <c r="U2118" s="34"/>
    </row>
    <row r="2119" spans="1:24" ht="30" customHeight="1">
      <c r="A2119" s="1516" t="s">
        <v>324</v>
      </c>
      <c r="B2119" s="1517"/>
      <c r="C2119" s="1518"/>
      <c r="D2119" s="1270" t="s">
        <v>1362</v>
      </c>
      <c r="E2119" s="1371"/>
      <c r="F2119" s="1371"/>
      <c r="G2119" s="1371"/>
      <c r="H2119" s="1371"/>
      <c r="I2119" s="1371"/>
      <c r="J2119" s="1371"/>
      <c r="K2119" s="1371"/>
      <c r="L2119" s="1372"/>
      <c r="M2119" s="1146"/>
      <c r="N2119" s="125"/>
      <c r="O2119" s="33"/>
      <c r="P2119" s="32"/>
      <c r="Q2119" s="32"/>
      <c r="R2119" s="32"/>
      <c r="S2119" s="32"/>
      <c r="T2119" s="32"/>
      <c r="U2119" s="32"/>
      <c r="V2119" s="32"/>
      <c r="W2119" s="32"/>
      <c r="X2119" s="32"/>
    </row>
    <row r="2120" spans="1:24" s="32" customFormat="1" ht="45" customHeight="1">
      <c r="A2120" s="1516" t="s">
        <v>325</v>
      </c>
      <c r="B2120" s="1517"/>
      <c r="C2120" s="1518"/>
      <c r="D2120" s="1270" t="s">
        <v>1363</v>
      </c>
      <c r="E2120" s="1371"/>
      <c r="F2120" s="1371"/>
      <c r="G2120" s="1371"/>
      <c r="H2120" s="1371"/>
      <c r="I2120" s="1371"/>
      <c r="J2120" s="1371"/>
      <c r="K2120" s="1371"/>
      <c r="L2120" s="1372"/>
      <c r="M2120" s="1146"/>
      <c r="N2120" s="125"/>
      <c r="O2120" s="33"/>
      <c r="T2120" s="38"/>
      <c r="U2120" s="38"/>
      <c r="V2120" s="38"/>
      <c r="W2120" s="38"/>
      <c r="X2120" s="38"/>
    </row>
    <row r="2121" spans="1:24" s="38" customFormat="1" ht="30" customHeight="1" thickBot="1">
      <c r="A2121" s="1516" t="s">
        <v>327</v>
      </c>
      <c r="B2121" s="1517"/>
      <c r="C2121" s="1518"/>
      <c r="D2121" s="1270" t="s">
        <v>1364</v>
      </c>
      <c r="E2121" s="1371"/>
      <c r="F2121" s="1371"/>
      <c r="G2121" s="1371"/>
      <c r="H2121" s="1371"/>
      <c r="I2121" s="1371"/>
      <c r="J2121" s="1371"/>
      <c r="K2121" s="1371"/>
      <c r="L2121" s="1372"/>
      <c r="M2121" s="1146"/>
      <c r="N2121" s="968"/>
      <c r="O2121" s="1119"/>
      <c r="T2121"/>
      <c r="U2121" s="32"/>
      <c r="V2121" s="32"/>
      <c r="W2121" s="32"/>
      <c r="X2121" s="32"/>
    </row>
    <row r="2122" spans="1:24" s="32" customFormat="1" ht="30" customHeight="1" thickBot="1">
      <c r="A2122" s="1165"/>
      <c r="B2122" s="1166"/>
      <c r="C2122" s="1166"/>
      <c r="D2122" s="1166"/>
      <c r="E2122" s="1166"/>
      <c r="F2122" s="1166"/>
      <c r="G2122" s="1166"/>
      <c r="H2122" s="1166"/>
      <c r="I2122" s="1166"/>
      <c r="J2122" s="1166"/>
      <c r="K2122" s="1166"/>
      <c r="L2122" s="1167"/>
      <c r="M2122" s="1146"/>
      <c r="N2122" s="25"/>
      <c r="O2122" s="1119"/>
      <c r="P2122"/>
      <c r="Q2122"/>
      <c r="R2122"/>
      <c r="S2122"/>
      <c r="T2122"/>
    </row>
    <row r="2123" spans="1:24" s="32" customFormat="1" ht="30" customHeight="1">
      <c r="A2123" s="27" t="s">
        <v>280</v>
      </c>
      <c r="B2123" s="82">
        <v>4311</v>
      </c>
      <c r="C2123" s="1197" t="s">
        <v>1365</v>
      </c>
      <c r="D2123" s="1198"/>
      <c r="E2123" s="74" t="s">
        <v>282</v>
      </c>
      <c r="F2123" s="75" t="s">
        <v>8</v>
      </c>
      <c r="G2123" s="58" t="s">
        <v>290</v>
      </c>
      <c r="H2123" s="215">
        <v>18436</v>
      </c>
      <c r="I2123" s="74" t="s">
        <v>283</v>
      </c>
      <c r="J2123" s="1199" t="s">
        <v>2529</v>
      </c>
      <c r="K2123" s="1199"/>
      <c r="L2123" s="1200"/>
      <c r="M2123" s="1146"/>
      <c r="N2123" s="25"/>
      <c r="O2123" s="1119"/>
      <c r="P2123"/>
      <c r="Q2123"/>
      <c r="R2123"/>
      <c r="S2123"/>
      <c r="T2123"/>
    </row>
    <row r="2124" spans="1:24" s="32" customFormat="1" ht="30" customHeight="1">
      <c r="A2124" s="37" t="s">
        <v>304</v>
      </c>
      <c r="B2124" s="1201" t="s">
        <v>330</v>
      </c>
      <c r="C2124" s="1202"/>
      <c r="D2124" s="1203"/>
      <c r="E2124" s="150" t="s">
        <v>295</v>
      </c>
      <c r="F2124" s="150" t="s">
        <v>331</v>
      </c>
      <c r="G2124" s="1204" t="s">
        <v>332</v>
      </c>
      <c r="H2124" s="1205"/>
      <c r="I2124" s="77" t="s">
        <v>305</v>
      </c>
      <c r="J2124" s="77"/>
      <c r="K2124" s="1206" t="s">
        <v>297</v>
      </c>
      <c r="L2124" s="1207"/>
      <c r="M2124" s="1146"/>
      <c r="N2124" s="25"/>
      <c r="O2124" s="1119"/>
      <c r="P2124"/>
      <c r="Q2124"/>
      <c r="R2124"/>
      <c r="S2124"/>
      <c r="T2124" s="44"/>
      <c r="U2124"/>
      <c r="V2124"/>
      <c r="W2124"/>
      <c r="X2124"/>
    </row>
    <row r="2125" spans="1:24" ht="30" customHeight="1">
      <c r="A2125" s="45" t="s">
        <v>1366</v>
      </c>
      <c r="B2125" s="1179" t="s">
        <v>1367</v>
      </c>
      <c r="C2125" s="1180"/>
      <c r="D2125" s="1181"/>
      <c r="E2125" s="153">
        <v>79.39</v>
      </c>
      <c r="F2125" s="20" t="s">
        <v>8</v>
      </c>
      <c r="G2125" s="206"/>
      <c r="H2125" s="20"/>
      <c r="I2125" s="20">
        <v>1.05</v>
      </c>
      <c r="J2125" s="20"/>
      <c r="K2125" s="153">
        <f>+E2125*I2125</f>
        <v>83.359499999999997</v>
      </c>
      <c r="L2125" s="20" t="s">
        <v>8</v>
      </c>
      <c r="M2125" s="1146"/>
      <c r="P2125" s="34"/>
      <c r="Q2125" s="34"/>
      <c r="R2125" s="34"/>
      <c r="S2125" s="44"/>
      <c r="T2125" s="44"/>
    </row>
    <row r="2126" spans="1:24" ht="30" customHeight="1">
      <c r="A2126" s="45" t="s">
        <v>1366</v>
      </c>
      <c r="B2126" s="1176" t="s">
        <v>1368</v>
      </c>
      <c r="C2126" s="1177"/>
      <c r="D2126" s="1178"/>
      <c r="E2126" s="512">
        <v>21.05</v>
      </c>
      <c r="F2126" s="20" t="s">
        <v>8</v>
      </c>
      <c r="G2126" s="515"/>
      <c r="H2126" s="329"/>
      <c r="I2126" s="20">
        <v>1.05</v>
      </c>
      <c r="J2126" s="20"/>
      <c r="K2126" s="153">
        <f>+E2126*I2126</f>
        <v>22.102500000000003</v>
      </c>
      <c r="L2126" s="20" t="s">
        <v>8</v>
      </c>
      <c r="M2126" s="1146"/>
      <c r="P2126" s="34"/>
      <c r="Q2126" s="34"/>
      <c r="R2126" s="34"/>
      <c r="S2126" s="44"/>
      <c r="T2126" s="32"/>
      <c r="U2126" s="34"/>
    </row>
    <row r="2127" spans="1:24" ht="30" customHeight="1">
      <c r="A2127" s="45" t="s">
        <v>377</v>
      </c>
      <c r="B2127" s="1179" t="s">
        <v>2728</v>
      </c>
      <c r="C2127" s="1180"/>
      <c r="D2127" s="1180"/>
      <c r="E2127" s="153">
        <v>3.53</v>
      </c>
      <c r="F2127" s="20" t="s">
        <v>8</v>
      </c>
      <c r="G2127" s="395"/>
      <c r="H2127" s="329"/>
      <c r="I2127" s="20">
        <v>1.05</v>
      </c>
      <c r="J2127" s="20"/>
      <c r="K2127" s="153">
        <f>+E2127*I2127</f>
        <v>3.7065000000000001</v>
      </c>
      <c r="L2127" s="20" t="s">
        <v>8</v>
      </c>
      <c r="M2127" s="1146"/>
      <c r="N2127" s="125"/>
      <c r="O2127" s="33"/>
      <c r="P2127" s="32"/>
      <c r="Q2127" s="32"/>
      <c r="R2127" s="32"/>
      <c r="S2127" s="32"/>
      <c r="T2127" s="32"/>
      <c r="U2127" s="34"/>
    </row>
    <row r="2128" spans="1:24" ht="30" customHeight="1">
      <c r="A2128" s="45"/>
      <c r="B2128" s="1176"/>
      <c r="C2128" s="1177"/>
      <c r="D2128" s="1178"/>
      <c r="E2128" s="153"/>
      <c r="F2128" s="317"/>
      <c r="G2128" s="395"/>
      <c r="H2128" s="329"/>
      <c r="I2128" s="20"/>
      <c r="J2128" s="20" t="s">
        <v>346</v>
      </c>
      <c r="K2128" s="153">
        <f>SUM(K2125:K2127)</f>
        <v>109.16850000000001</v>
      </c>
      <c r="L2128" s="20" t="s">
        <v>8</v>
      </c>
      <c r="M2128" s="1146"/>
      <c r="N2128" s="125"/>
      <c r="O2128" s="33"/>
      <c r="P2128" s="32"/>
      <c r="Q2128" s="32"/>
      <c r="R2128" s="32"/>
      <c r="S2128" s="32"/>
      <c r="T2128" s="32"/>
      <c r="U2128" s="32"/>
      <c r="V2128" s="32"/>
      <c r="W2128" s="32"/>
      <c r="X2128" s="32"/>
    </row>
    <row r="2129" spans="1:24" s="32" customFormat="1" ht="30" customHeight="1">
      <c r="A2129" s="45"/>
      <c r="B2129" s="157"/>
      <c r="C2129" s="157"/>
      <c r="D2129" s="157"/>
      <c r="E2129" s="153"/>
      <c r="F2129" s="1174" t="s">
        <v>308</v>
      </c>
      <c r="G2129" s="1208" t="s">
        <v>309</v>
      </c>
      <c r="H2129" s="1208"/>
      <c r="I2129" s="1208"/>
      <c r="J2129" s="1208"/>
      <c r="K2129" s="326">
        <f>(1.06+1.08)/2</f>
        <v>1.07</v>
      </c>
      <c r="L2129" s="10"/>
      <c r="M2129" s="1146"/>
      <c r="N2129" s="983"/>
      <c r="O2129" s="33"/>
      <c r="T2129" s="38"/>
      <c r="U2129" s="38"/>
      <c r="V2129" s="38"/>
      <c r="W2129" s="38"/>
      <c r="X2129" s="38"/>
    </row>
    <row r="2130" spans="1:24" s="38" customFormat="1" ht="30" customHeight="1">
      <c r="A2130" s="45"/>
      <c r="B2130" s="157"/>
      <c r="C2130" s="157"/>
      <c r="D2130" s="157"/>
      <c r="E2130" s="153"/>
      <c r="F2130" s="1175"/>
      <c r="G2130" s="1209" t="s">
        <v>310</v>
      </c>
      <c r="H2130" s="1209"/>
      <c r="I2130" s="1209"/>
      <c r="J2130" s="1209"/>
      <c r="K2130" s="123">
        <v>1.07</v>
      </c>
      <c r="L2130" s="10"/>
      <c r="M2130" s="1146"/>
      <c r="N2130" s="983"/>
      <c r="O2130" s="1119"/>
      <c r="T2130"/>
      <c r="U2130" s="32"/>
      <c r="V2130" s="32"/>
      <c r="W2130" s="32"/>
      <c r="X2130" s="32"/>
    </row>
    <row r="2131" spans="1:24" s="32" customFormat="1" ht="30" customHeight="1">
      <c r="A2131" s="45"/>
      <c r="B2131" s="20"/>
      <c r="C2131" s="18"/>
      <c r="D2131" s="18"/>
      <c r="E2131" s="18"/>
      <c r="F2131" s="18"/>
      <c r="G2131" s="18"/>
      <c r="H2131" s="18"/>
      <c r="I2131" s="226"/>
      <c r="J2131" s="20" t="s">
        <v>289</v>
      </c>
      <c r="K2131" s="23">
        <f>+K2128*K2129/K2130</f>
        <v>109.16850000000001</v>
      </c>
      <c r="L2131" s="20" t="s">
        <v>8</v>
      </c>
      <c r="M2131" s="1146"/>
      <c r="N2131" s="983"/>
      <c r="O2131" s="1119"/>
      <c r="P2131"/>
      <c r="Q2131"/>
      <c r="R2131"/>
      <c r="S2131"/>
      <c r="T2131"/>
    </row>
    <row r="2132" spans="1:24" s="32" customFormat="1" ht="30" customHeight="1" thickBot="1">
      <c r="A2132" s="45"/>
      <c r="B2132" s="20"/>
      <c r="C2132" s="18"/>
      <c r="D2132" s="18"/>
      <c r="E2132" s="18"/>
      <c r="F2132" s="18"/>
      <c r="G2132" s="160" t="s">
        <v>312</v>
      </c>
      <c r="H2132" s="18"/>
      <c r="I2132" s="18"/>
      <c r="J2132" s="139">
        <f>VLOOKUP(B2123,'Mil Cost Premiums for RUCs'!$A$4:$R$266,18,FALSE)</f>
        <v>1.168693068754227</v>
      </c>
      <c r="K2132" s="23">
        <f>+K2131*J2132</f>
        <v>127.58446927629583</v>
      </c>
      <c r="L2132" s="20" t="s">
        <v>8</v>
      </c>
      <c r="M2132" s="1146"/>
      <c r="N2132" s="25"/>
      <c r="O2132" s="1119"/>
      <c r="P2132"/>
      <c r="Q2132"/>
      <c r="R2132"/>
      <c r="S2132"/>
      <c r="T2132"/>
    </row>
    <row r="2133" spans="1:24" s="32" customFormat="1" ht="30" customHeight="1" thickBot="1">
      <c r="A2133" s="1165"/>
      <c r="B2133" s="1166"/>
      <c r="C2133" s="1166"/>
      <c r="D2133" s="1166"/>
      <c r="E2133" s="1166"/>
      <c r="F2133" s="1166"/>
      <c r="G2133" s="1166"/>
      <c r="H2133" s="1166"/>
      <c r="I2133" s="1166"/>
      <c r="J2133" s="1166"/>
      <c r="K2133" s="1166"/>
      <c r="L2133" s="1167"/>
      <c r="M2133" s="1146"/>
      <c r="N2133" s="25"/>
      <c r="O2133" s="1119"/>
      <c r="P2133"/>
      <c r="Q2133"/>
      <c r="R2133"/>
      <c r="S2133"/>
      <c r="T2133" s="44"/>
      <c r="U2133"/>
      <c r="V2133"/>
      <c r="W2133"/>
      <c r="X2133"/>
    </row>
    <row r="2134" spans="1:24" ht="30" customHeight="1">
      <c r="A2134" s="27" t="s">
        <v>280</v>
      </c>
      <c r="B2134" s="82">
        <v>4321</v>
      </c>
      <c r="C2134" s="1197" t="s">
        <v>1369</v>
      </c>
      <c r="D2134" s="1198"/>
      <c r="E2134" s="74" t="s">
        <v>282</v>
      </c>
      <c r="F2134" s="75" t="s">
        <v>8</v>
      </c>
      <c r="G2134" s="58" t="s">
        <v>290</v>
      </c>
      <c r="H2134" s="215">
        <v>9934</v>
      </c>
      <c r="I2134" s="74" t="s">
        <v>283</v>
      </c>
      <c r="J2134" s="1409" t="s">
        <v>2529</v>
      </c>
      <c r="K2134" s="1409"/>
      <c r="L2134" s="1410"/>
      <c r="M2134" s="1146"/>
      <c r="P2134" s="34"/>
      <c r="Q2134" s="34"/>
      <c r="R2134" s="34"/>
      <c r="S2134" s="44"/>
      <c r="T2134" s="44"/>
    </row>
    <row r="2135" spans="1:24" ht="30" customHeight="1">
      <c r="A2135" s="37" t="s">
        <v>304</v>
      </c>
      <c r="B2135" s="1201" t="s">
        <v>330</v>
      </c>
      <c r="C2135" s="1202"/>
      <c r="D2135" s="1203"/>
      <c r="E2135" s="150" t="s">
        <v>295</v>
      </c>
      <c r="F2135" s="150" t="s">
        <v>331</v>
      </c>
      <c r="G2135" s="1204" t="s">
        <v>332</v>
      </c>
      <c r="H2135" s="1205"/>
      <c r="I2135" s="77" t="s">
        <v>305</v>
      </c>
      <c r="J2135" s="77"/>
      <c r="K2135" s="1206" t="s">
        <v>297</v>
      </c>
      <c r="L2135" s="1207"/>
      <c r="M2135" s="1146"/>
      <c r="P2135" s="34"/>
      <c r="Q2135" s="34"/>
      <c r="R2135" s="34"/>
      <c r="S2135" s="44"/>
    </row>
    <row r="2136" spans="1:24" ht="30" customHeight="1">
      <c r="A2136" s="45" t="s">
        <v>1366</v>
      </c>
      <c r="B2136" s="1179" t="s">
        <v>1367</v>
      </c>
      <c r="C2136" s="1180"/>
      <c r="D2136" s="1181"/>
      <c r="E2136" s="153">
        <v>79.39</v>
      </c>
      <c r="F2136" s="20" t="s">
        <v>8</v>
      </c>
      <c r="G2136" s="206"/>
      <c r="H2136" s="20"/>
      <c r="I2136" s="20">
        <v>1.05</v>
      </c>
      <c r="J2136" s="20"/>
      <c r="K2136" s="153">
        <f>+E2136*I2136</f>
        <v>83.359499999999997</v>
      </c>
      <c r="L2136" s="20" t="s">
        <v>8</v>
      </c>
      <c r="M2136" s="1146"/>
      <c r="N2136" s="282"/>
      <c r="O2136"/>
      <c r="P2136" s="159"/>
      <c r="Q2136" s="147"/>
      <c r="R2136" s="149"/>
    </row>
    <row r="2137" spans="1:24" ht="30" customHeight="1">
      <c r="A2137" s="45" t="s">
        <v>1366</v>
      </c>
      <c r="B2137" s="1176" t="s">
        <v>1370</v>
      </c>
      <c r="C2137" s="1177"/>
      <c r="D2137" s="1178"/>
      <c r="E2137" s="512">
        <v>13.2</v>
      </c>
      <c r="F2137" s="20" t="s">
        <v>8</v>
      </c>
      <c r="G2137" s="515"/>
      <c r="H2137" s="329"/>
      <c r="I2137" s="20">
        <v>1.05</v>
      </c>
      <c r="J2137" s="20"/>
      <c r="K2137" s="153">
        <f>+E2137*I2137</f>
        <v>13.86</v>
      </c>
      <c r="L2137" s="20" t="s">
        <v>8</v>
      </c>
      <c r="M2137" s="1146"/>
      <c r="N2137" s="282"/>
      <c r="O2137"/>
      <c r="P2137" s="159"/>
      <c r="Q2137" s="147"/>
      <c r="R2137" s="149"/>
    </row>
    <row r="2138" spans="1:24" ht="30" customHeight="1">
      <c r="A2138" s="45" t="s">
        <v>377</v>
      </c>
      <c r="B2138" s="1179" t="s">
        <v>2730</v>
      </c>
      <c r="C2138" s="1180"/>
      <c r="D2138" s="1180"/>
      <c r="E2138" s="153">
        <v>4.01</v>
      </c>
      <c r="F2138" s="20" t="s">
        <v>8</v>
      </c>
      <c r="G2138" s="395"/>
      <c r="H2138" s="329"/>
      <c r="I2138" s="20">
        <v>1.05</v>
      </c>
      <c r="J2138" s="20"/>
      <c r="K2138" s="153">
        <f>+E2138*I2138</f>
        <v>4.2104999999999997</v>
      </c>
      <c r="L2138" s="20" t="s">
        <v>8</v>
      </c>
      <c r="M2138" s="1146"/>
      <c r="O2138" s="159"/>
      <c r="P2138" s="147"/>
      <c r="Q2138" s="149"/>
      <c r="T2138" s="38"/>
      <c r="U2138" s="38"/>
      <c r="V2138" s="38"/>
      <c r="W2138" s="38"/>
      <c r="X2138" s="38"/>
    </row>
    <row r="2139" spans="1:24" s="38" customFormat="1" ht="30" customHeight="1">
      <c r="A2139" s="45"/>
      <c r="B2139" s="1176"/>
      <c r="C2139" s="1177"/>
      <c r="D2139" s="1178"/>
      <c r="E2139" s="153"/>
      <c r="F2139" s="317"/>
      <c r="G2139" s="395"/>
      <c r="H2139" s="329"/>
      <c r="I2139" s="20"/>
      <c r="J2139" s="20" t="s">
        <v>346</v>
      </c>
      <c r="K2139" s="153">
        <f>SUM(K2136:K2138)</f>
        <v>101.42999999999999</v>
      </c>
      <c r="L2139" s="20" t="s">
        <v>8</v>
      </c>
      <c r="M2139" s="1146"/>
      <c r="N2139" s="193"/>
      <c r="O2139" s="159"/>
      <c r="P2139" s="147"/>
      <c r="Q2139" s="149"/>
      <c r="T2139"/>
      <c r="U2139"/>
      <c r="V2139"/>
      <c r="W2139"/>
      <c r="X2139"/>
    </row>
    <row r="2140" spans="1:24" ht="30" customHeight="1">
      <c r="A2140" s="45"/>
      <c r="B2140" s="157"/>
      <c r="C2140" s="157"/>
      <c r="D2140" s="157"/>
      <c r="E2140" s="153"/>
      <c r="F2140" s="1174" t="s">
        <v>308</v>
      </c>
      <c r="G2140" s="1208" t="s">
        <v>309</v>
      </c>
      <c r="H2140" s="1208"/>
      <c r="I2140" s="1208"/>
      <c r="J2140" s="1208"/>
      <c r="K2140" s="326">
        <f>(1.06+1.08)/2</f>
        <v>1.07</v>
      </c>
      <c r="L2140" s="10"/>
      <c r="M2140" s="1146"/>
      <c r="O2140" s="159"/>
      <c r="P2140" s="147"/>
      <c r="Q2140" s="149"/>
    </row>
    <row r="2141" spans="1:24" ht="30" customHeight="1">
      <c r="A2141" s="45"/>
      <c r="B2141" s="157"/>
      <c r="C2141" s="157"/>
      <c r="D2141" s="157"/>
      <c r="E2141" s="153"/>
      <c r="F2141" s="1175"/>
      <c r="G2141" s="1209" t="s">
        <v>310</v>
      </c>
      <c r="H2141" s="1209"/>
      <c r="I2141" s="1209"/>
      <c r="J2141" s="1209"/>
      <c r="K2141" s="123">
        <v>1.07</v>
      </c>
      <c r="L2141" s="10"/>
      <c r="M2141" s="1146"/>
      <c r="O2141" s="159"/>
      <c r="P2141" s="147"/>
      <c r="Q2141" s="149"/>
    </row>
    <row r="2142" spans="1:24" ht="30" customHeight="1">
      <c r="A2142" s="45"/>
      <c r="B2142" s="20"/>
      <c r="C2142" s="18"/>
      <c r="D2142" s="18"/>
      <c r="E2142" s="18"/>
      <c r="F2142" s="18"/>
      <c r="G2142" s="18"/>
      <c r="H2142" s="18"/>
      <c r="I2142" s="18"/>
      <c r="J2142" s="18" t="s">
        <v>289</v>
      </c>
      <c r="K2142" s="23">
        <f>+K2139*K2140/K2141</f>
        <v>101.42999999999999</v>
      </c>
      <c r="L2142" s="20" t="s">
        <v>8</v>
      </c>
      <c r="M2142" s="1146"/>
      <c r="O2142" s="159"/>
      <c r="P2142" s="147"/>
      <c r="Q2142" s="149"/>
    </row>
    <row r="2143" spans="1:24" ht="30" customHeight="1" thickBot="1">
      <c r="A2143" s="45"/>
      <c r="B2143" s="20"/>
      <c r="C2143" s="18"/>
      <c r="D2143" s="18"/>
      <c r="E2143" s="18"/>
      <c r="F2143" s="18"/>
      <c r="G2143" s="13"/>
      <c r="H2143" s="18"/>
      <c r="I2143" s="597" t="s">
        <v>312</v>
      </c>
      <c r="J2143" s="139">
        <f>VLOOKUP(B2134,'Mil Cost Premiums for RUCs'!$A$4:$R$266,18,FALSE)</f>
        <v>1.1651974763252515</v>
      </c>
      <c r="K2143" s="23">
        <f>+K2142*J2143</f>
        <v>118.18598002367025</v>
      </c>
      <c r="L2143" s="20" t="s">
        <v>8</v>
      </c>
      <c r="M2143" s="1146"/>
      <c r="O2143" s="159"/>
      <c r="P2143" s="147"/>
      <c r="Q2143" s="149"/>
    </row>
    <row r="2144" spans="1:24" ht="30" customHeight="1" thickBot="1">
      <c r="A2144" s="1165"/>
      <c r="B2144" s="1166"/>
      <c r="C2144" s="1166"/>
      <c r="D2144" s="1166"/>
      <c r="E2144" s="1166"/>
      <c r="F2144" s="1166"/>
      <c r="G2144" s="1166"/>
      <c r="H2144" s="1166"/>
      <c r="I2144" s="1166"/>
      <c r="J2144" s="1166"/>
      <c r="K2144" s="1166"/>
      <c r="L2144" s="1167"/>
      <c r="M2144" s="1146"/>
      <c r="O2144" s="159"/>
      <c r="P2144" s="147"/>
      <c r="Q2144" s="149"/>
    </row>
    <row r="2145" spans="1:18" ht="30" customHeight="1">
      <c r="A2145" s="27" t="s">
        <v>280</v>
      </c>
      <c r="B2145" s="82">
        <v>4411</v>
      </c>
      <c r="C2145" s="1228" t="s">
        <v>1371</v>
      </c>
      <c r="D2145" s="1229"/>
      <c r="E2145" s="74" t="s">
        <v>282</v>
      </c>
      <c r="F2145" s="75" t="s">
        <v>8</v>
      </c>
      <c r="G2145" s="58" t="s">
        <v>290</v>
      </c>
      <c r="H2145" s="336">
        <v>16368</v>
      </c>
      <c r="I2145" s="74" t="s">
        <v>283</v>
      </c>
      <c r="J2145" s="1199" t="s">
        <v>292</v>
      </c>
      <c r="K2145" s="1230"/>
      <c r="L2145" s="1231"/>
      <c r="M2145" s="1146"/>
      <c r="O2145" s="159"/>
      <c r="P2145" s="147"/>
      <c r="Q2145" s="149"/>
    </row>
    <row r="2146" spans="1:18" ht="30" customHeight="1">
      <c r="A2146" s="35" t="s">
        <v>293</v>
      </c>
      <c r="B2146" s="1232" t="s">
        <v>284</v>
      </c>
      <c r="C2146" s="1232"/>
      <c r="D2146" s="1232"/>
      <c r="E2146" s="96" t="s">
        <v>295</v>
      </c>
      <c r="F2146" s="78" t="s">
        <v>294</v>
      </c>
      <c r="G2146" s="463"/>
      <c r="H2146" s="77"/>
      <c r="I2146" s="1233" t="s">
        <v>426</v>
      </c>
      <c r="J2146" s="1234"/>
      <c r="K2146" s="1206" t="s">
        <v>297</v>
      </c>
      <c r="L2146" s="1207"/>
      <c r="M2146" s="1146"/>
      <c r="O2146" s="159"/>
      <c r="P2146" s="147"/>
      <c r="Q2146" s="149"/>
    </row>
    <row r="2147" spans="1:18" ht="30" customHeight="1">
      <c r="A2147" s="48" t="s">
        <v>298</v>
      </c>
      <c r="B2147" s="1222" t="s">
        <v>1372</v>
      </c>
      <c r="C2147" s="1222"/>
      <c r="D2147" s="1222"/>
      <c r="E2147" s="99">
        <v>209</v>
      </c>
      <c r="F2147" s="98">
        <v>21000</v>
      </c>
      <c r="G2147" s="604"/>
      <c r="H2147" s="101"/>
      <c r="I2147" s="1192">
        <f>+'2019 MILCON Inflation Table'!F14</f>
        <v>1.0543655984303466</v>
      </c>
      <c r="J2147" s="1193"/>
      <c r="K2147" s="605">
        <f>+E2147*I2147</f>
        <v>220.36241007194243</v>
      </c>
      <c r="L2147" s="97" t="s">
        <v>8</v>
      </c>
      <c r="M2147" s="1146"/>
      <c r="O2147" s="159"/>
      <c r="P2147" s="147"/>
      <c r="Q2147" s="149"/>
    </row>
    <row r="2148" spans="1:18" ht="30" customHeight="1" thickBot="1">
      <c r="A2148" s="45"/>
      <c r="B2148" s="1224"/>
      <c r="C2148" s="1224"/>
      <c r="D2148" s="1224"/>
      <c r="E2148" s="1225"/>
      <c r="F2148" s="1226"/>
      <c r="G2148" s="1226"/>
      <c r="H2148" s="1227"/>
      <c r="I2148" s="18"/>
      <c r="J2148" s="79" t="s">
        <v>289</v>
      </c>
      <c r="K2148" s="606">
        <f>+K2147</f>
        <v>220.36241007194243</v>
      </c>
      <c r="L2148" s="20" t="s">
        <v>8</v>
      </c>
      <c r="M2148" s="1146"/>
      <c r="O2148" s="159"/>
      <c r="P2148" s="147"/>
      <c r="Q2148" s="149"/>
    </row>
    <row r="2149" spans="1:18" ht="30" customHeight="1" thickBot="1">
      <c r="A2149" s="1165"/>
      <c r="B2149" s="1166"/>
      <c r="C2149" s="1166"/>
      <c r="D2149" s="1166"/>
      <c r="E2149" s="1166"/>
      <c r="F2149" s="1166"/>
      <c r="G2149" s="1166"/>
      <c r="H2149" s="1166"/>
      <c r="I2149" s="1166"/>
      <c r="J2149" s="1166"/>
      <c r="K2149" s="1166"/>
      <c r="L2149" s="1167"/>
      <c r="M2149" s="1146"/>
      <c r="O2149" s="159"/>
      <c r="P2149" s="147"/>
      <c r="Q2149" s="149"/>
    </row>
    <row r="2150" spans="1:18" ht="30" customHeight="1">
      <c r="A2150" s="81" t="s">
        <v>280</v>
      </c>
      <c r="B2150" s="82">
        <v>4412</v>
      </c>
      <c r="C2150" s="1228" t="s">
        <v>1373</v>
      </c>
      <c r="D2150" s="1229"/>
      <c r="E2150" s="74" t="s">
        <v>282</v>
      </c>
      <c r="F2150" s="75" t="s">
        <v>8</v>
      </c>
      <c r="G2150" s="58" t="s">
        <v>290</v>
      </c>
      <c r="H2150" s="104">
        <v>10967</v>
      </c>
      <c r="I2150" s="74" t="s">
        <v>283</v>
      </c>
      <c r="J2150" s="1199" t="s">
        <v>2569</v>
      </c>
      <c r="K2150" s="1230"/>
      <c r="L2150" s="1231"/>
      <c r="M2150" s="1146"/>
      <c r="N2150" s="85"/>
      <c r="O2150" s="159"/>
      <c r="P2150" s="147"/>
      <c r="Q2150" s="149"/>
    </row>
    <row r="2151" spans="1:18" ht="30" customHeight="1">
      <c r="A2151" s="77" t="s">
        <v>293</v>
      </c>
      <c r="B2151" s="1232" t="s">
        <v>284</v>
      </c>
      <c r="C2151" s="1232"/>
      <c r="D2151" s="1232"/>
      <c r="E2151" s="96" t="s">
        <v>295</v>
      </c>
      <c r="F2151" s="77" t="s">
        <v>294</v>
      </c>
      <c r="G2151" s="1365" t="s">
        <v>2</v>
      </c>
      <c r="H2151" s="1366"/>
      <c r="I2151" s="1233" t="s">
        <v>426</v>
      </c>
      <c r="J2151" s="1234"/>
      <c r="K2151" s="1206" t="s">
        <v>297</v>
      </c>
      <c r="L2151" s="1207"/>
      <c r="M2151" s="1146"/>
      <c r="O2151" s="159"/>
      <c r="P2151" s="147"/>
      <c r="Q2151" s="149"/>
    </row>
    <row r="2152" spans="1:18" ht="30" customHeight="1">
      <c r="A2152" s="20">
        <v>44222</v>
      </c>
      <c r="B2152" s="1179" t="s">
        <v>1345</v>
      </c>
      <c r="C2152" s="1180"/>
      <c r="D2152" s="1181"/>
      <c r="E2152" s="153">
        <v>75</v>
      </c>
      <c r="F2152" s="316">
        <v>2250</v>
      </c>
      <c r="G2152" s="286" t="s">
        <v>8</v>
      </c>
      <c r="H2152" s="286"/>
      <c r="I2152" s="1192">
        <f>+'2019 MILCON Inflation Table'!F18</f>
        <v>0.94232233454704462</v>
      </c>
      <c r="J2152" s="1193"/>
      <c r="K2152" s="106">
        <f>+E2152*I2152</f>
        <v>70.674175091028346</v>
      </c>
      <c r="L2152" s="97" t="s">
        <v>8</v>
      </c>
      <c r="M2152" s="1146"/>
      <c r="N2152" s="282"/>
      <c r="O2152" s="34"/>
      <c r="P2152" s="283"/>
      <c r="Q2152" s="282"/>
      <c r="R2152" s="284"/>
    </row>
    <row r="2153" spans="1:18" ht="30" customHeight="1" thickBot="1">
      <c r="A2153" s="20"/>
      <c r="B2153" s="1179"/>
      <c r="C2153" s="1180"/>
      <c r="D2153" s="1181"/>
      <c r="E2153" s="181"/>
      <c r="F2153" s="338"/>
      <c r="G2153" s="181"/>
      <c r="H2153" s="339"/>
      <c r="I2153" s="18"/>
      <c r="J2153" s="79" t="s">
        <v>289</v>
      </c>
      <c r="K2153" s="107">
        <f>AVERAGE(K2152:K2152)</f>
        <v>70.674175091028346</v>
      </c>
      <c r="L2153" s="97" t="s">
        <v>8</v>
      </c>
      <c r="M2153" s="1146"/>
      <c r="N2153" s="282"/>
      <c r="O2153" s="34"/>
      <c r="P2153" s="283"/>
      <c r="Q2153" s="282"/>
      <c r="R2153" s="284"/>
    </row>
    <row r="2154" spans="1:18" ht="30" customHeight="1" thickBot="1">
      <c r="A2154" s="1165"/>
      <c r="B2154" s="1166"/>
      <c r="C2154" s="1166"/>
      <c r="D2154" s="1166"/>
      <c r="E2154" s="1166"/>
      <c r="F2154" s="1166"/>
      <c r="G2154" s="1166"/>
      <c r="H2154" s="1166"/>
      <c r="I2154" s="1166"/>
      <c r="J2154" s="1166"/>
      <c r="K2154" s="1166"/>
      <c r="L2154" s="1167"/>
      <c r="M2154" s="1146"/>
      <c r="O2154" s="159"/>
      <c r="P2154" s="147"/>
      <c r="Q2154" s="149"/>
    </row>
    <row r="2155" spans="1:18" ht="30" customHeight="1">
      <c r="A2155" s="81" t="s">
        <v>280</v>
      </c>
      <c r="B2155" s="82">
        <v>4413</v>
      </c>
      <c r="C2155" s="1197" t="s">
        <v>1374</v>
      </c>
      <c r="D2155" s="1198"/>
      <c r="E2155" s="74" t="s">
        <v>282</v>
      </c>
      <c r="F2155" s="75" t="s">
        <v>8</v>
      </c>
      <c r="G2155" s="58" t="s">
        <v>290</v>
      </c>
      <c r="H2155" s="76">
        <v>4540</v>
      </c>
      <c r="I2155" s="74" t="s">
        <v>283</v>
      </c>
      <c r="J2155" s="1199" t="s">
        <v>1125</v>
      </c>
      <c r="K2155" s="1230"/>
      <c r="L2155" s="1231"/>
      <c r="M2155" s="1146"/>
      <c r="O2155" s="159"/>
      <c r="P2155" s="147"/>
      <c r="Q2155" s="149"/>
    </row>
    <row r="2156" spans="1:18" ht="30" customHeight="1">
      <c r="A2156" s="77"/>
      <c r="B2156" s="1232" t="s">
        <v>284</v>
      </c>
      <c r="C2156" s="1232"/>
      <c r="D2156" s="1232"/>
      <c r="E2156" s="96" t="s">
        <v>295</v>
      </c>
      <c r="F2156" s="77" t="s">
        <v>294</v>
      </c>
      <c r="G2156" s="463"/>
      <c r="H2156" s="345"/>
      <c r="I2156" s="1233" t="s">
        <v>296</v>
      </c>
      <c r="J2156" s="1234"/>
      <c r="K2156" s="1206" t="s">
        <v>297</v>
      </c>
      <c r="L2156" s="1207"/>
      <c r="M2156" s="1146"/>
      <c r="N2156" s="1103"/>
      <c r="O2156"/>
      <c r="P2156" s="159"/>
      <c r="Q2156" s="147"/>
      <c r="R2156" s="149"/>
    </row>
    <row r="2157" spans="1:18" ht="30" customHeight="1">
      <c r="A2157" s="65" t="s">
        <v>298</v>
      </c>
      <c r="B2157" s="1222" t="s">
        <v>1375</v>
      </c>
      <c r="C2157" s="1222"/>
      <c r="D2157" s="1222"/>
      <c r="E2157" s="607">
        <v>367</v>
      </c>
      <c r="F2157" s="500">
        <v>4300</v>
      </c>
      <c r="G2157" s="13"/>
      <c r="H2157" s="608"/>
      <c r="I2157" s="1597">
        <f>+'2019 MILCON Inflation Table'!F9</f>
        <v>1.2764251781472684</v>
      </c>
      <c r="J2157" s="1597"/>
      <c r="K2157" s="343">
        <f>+E2157*I2157</f>
        <v>468.44804038004753</v>
      </c>
      <c r="L2157" s="65" t="s">
        <v>8</v>
      </c>
      <c r="M2157" s="1146"/>
      <c r="N2157" s="1103"/>
      <c r="O2157"/>
      <c r="P2157" s="159"/>
      <c r="Q2157" s="147"/>
      <c r="R2157" s="149"/>
    </row>
    <row r="2158" spans="1:18" ht="30" customHeight="1" thickBot="1">
      <c r="A2158" s="20"/>
      <c r="B2158" s="1224" t="s">
        <v>1127</v>
      </c>
      <c r="C2158" s="1224"/>
      <c r="D2158" s="1224"/>
      <c r="E2158" s="1225"/>
      <c r="F2158" s="1226"/>
      <c r="G2158" s="1226"/>
      <c r="H2158" s="1227"/>
      <c r="I2158" s="18"/>
      <c r="J2158" s="79" t="s">
        <v>289</v>
      </c>
      <c r="K2158" s="107">
        <f>+K2157</f>
        <v>468.44804038004753</v>
      </c>
      <c r="L2158" s="20" t="s">
        <v>8</v>
      </c>
      <c r="M2158" s="1146"/>
      <c r="N2158" s="1103"/>
      <c r="O2158"/>
      <c r="P2158" s="159"/>
      <c r="Q2158" s="147"/>
      <c r="R2158" s="149"/>
    </row>
    <row r="2159" spans="1:18" ht="30" customHeight="1" thickBot="1">
      <c r="A2159" s="1165"/>
      <c r="B2159" s="1166"/>
      <c r="C2159" s="1166"/>
      <c r="D2159" s="1166"/>
      <c r="E2159" s="1166"/>
      <c r="F2159" s="1166"/>
      <c r="G2159" s="1166"/>
      <c r="H2159" s="1166"/>
      <c r="I2159" s="1166"/>
      <c r="J2159" s="1166"/>
      <c r="K2159" s="1166"/>
      <c r="L2159" s="1167"/>
      <c r="M2159" s="1146"/>
      <c r="N2159" s="1103"/>
      <c r="O2159"/>
      <c r="P2159" s="159"/>
      <c r="Q2159" s="147"/>
      <c r="R2159" s="149"/>
    </row>
    <row r="2160" spans="1:18" ht="30" customHeight="1">
      <c r="A2160" s="609" t="s">
        <v>280</v>
      </c>
      <c r="B2160" s="609">
        <v>4414</v>
      </c>
      <c r="C2160" s="1598" t="s">
        <v>1376</v>
      </c>
      <c r="D2160" s="1598"/>
      <c r="E2160" s="448" t="s">
        <v>282</v>
      </c>
      <c r="F2160" s="610" t="s">
        <v>8</v>
      </c>
      <c r="G2160" s="447" t="s">
        <v>290</v>
      </c>
      <c r="H2160" s="611">
        <v>23140</v>
      </c>
      <c r="I2160" s="448" t="s">
        <v>283</v>
      </c>
      <c r="J2160" s="1310" t="s">
        <v>2869</v>
      </c>
      <c r="K2160" s="1310"/>
      <c r="L2160" s="1311"/>
      <c r="M2160" s="1146"/>
      <c r="N2160" s="1103"/>
      <c r="O2160"/>
      <c r="P2160" s="159"/>
      <c r="Q2160" s="147"/>
      <c r="R2160" s="149"/>
    </row>
    <row r="2161" spans="1:24" ht="30" customHeight="1">
      <c r="A2161" s="165" t="s">
        <v>304</v>
      </c>
      <c r="B2161" s="1324" t="s">
        <v>330</v>
      </c>
      <c r="C2161" s="1325"/>
      <c r="D2161" s="1326"/>
      <c r="E2161" s="219" t="s">
        <v>295</v>
      </c>
      <c r="F2161" s="219" t="s">
        <v>331</v>
      </c>
      <c r="G2161" s="1204" t="s">
        <v>332</v>
      </c>
      <c r="H2161" s="1205"/>
      <c r="I2161" s="449" t="s">
        <v>1235</v>
      </c>
      <c r="J2161" s="167" t="s">
        <v>305</v>
      </c>
      <c r="K2161" s="1206" t="s">
        <v>297</v>
      </c>
      <c r="L2161" s="1207"/>
      <c r="M2161" s="1146"/>
      <c r="N2161" s="1103"/>
      <c r="O2161"/>
      <c r="P2161" s="159"/>
      <c r="Q2161" s="147"/>
      <c r="R2161" s="149"/>
    </row>
    <row r="2162" spans="1:24" ht="30" customHeight="1">
      <c r="A2162" s="10" t="s">
        <v>1366</v>
      </c>
      <c r="B2162" s="1162" t="s">
        <v>1377</v>
      </c>
      <c r="C2162" s="1163"/>
      <c r="D2162" s="1164"/>
      <c r="E2162" s="115">
        <v>79.39</v>
      </c>
      <c r="F2162" s="10" t="s">
        <v>8</v>
      </c>
      <c r="G2162" s="441"/>
      <c r="H2162" s="10"/>
      <c r="I2162" s="10"/>
      <c r="J2162" s="10">
        <v>1.05</v>
      </c>
      <c r="K2162" s="115">
        <f>+E2162*J2162</f>
        <v>83.359499999999997</v>
      </c>
      <c r="L2162" s="10" t="s">
        <v>8</v>
      </c>
      <c r="M2162" s="1146"/>
      <c r="N2162" s="1103"/>
      <c r="O2162"/>
      <c r="P2162" s="159"/>
      <c r="Q2162" s="147"/>
      <c r="R2162" s="149"/>
    </row>
    <row r="2163" spans="1:24" ht="30" customHeight="1">
      <c r="A2163" s="10" t="s">
        <v>395</v>
      </c>
      <c r="B2163" s="1162" t="s">
        <v>1378</v>
      </c>
      <c r="C2163" s="1163"/>
      <c r="D2163" s="1164"/>
      <c r="E2163" s="115">
        <f>(19.15+29.75)/2</f>
        <v>24.45</v>
      </c>
      <c r="F2163" s="10" t="s">
        <v>396</v>
      </c>
      <c r="G2163" s="169">
        <f>13*81</f>
        <v>1053</v>
      </c>
      <c r="H2163" s="489" t="s">
        <v>1379</v>
      </c>
      <c r="I2163" s="613">
        <f t="shared" ref="I2163:I2168" si="49">+E2163*G2163/$H$2160</f>
        <v>1.1126123595505617</v>
      </c>
      <c r="J2163" s="10">
        <v>1.06</v>
      </c>
      <c r="K2163" s="115">
        <f t="shared" ref="K2163:K2168" si="50">+I2163*J2163</f>
        <v>1.1793691011235954</v>
      </c>
      <c r="L2163" s="10" t="s">
        <v>8</v>
      </c>
      <c r="M2163" s="1146"/>
      <c r="N2163" s="1103"/>
      <c r="O2163"/>
      <c r="P2163" s="159"/>
      <c r="Q2163" s="147"/>
      <c r="R2163" s="149"/>
    </row>
    <row r="2164" spans="1:24" ht="30" customHeight="1">
      <c r="A2164" s="10" t="s">
        <v>395</v>
      </c>
      <c r="B2164" s="1162" t="s">
        <v>1223</v>
      </c>
      <c r="C2164" s="1163"/>
      <c r="D2164" s="1164"/>
      <c r="E2164" s="115">
        <f>(1610+2280)/2</f>
        <v>1945</v>
      </c>
      <c r="F2164" s="10" t="s">
        <v>10</v>
      </c>
      <c r="G2164" s="13">
        <v>13</v>
      </c>
      <c r="H2164" s="489" t="s">
        <v>10</v>
      </c>
      <c r="I2164" s="613">
        <f>+E2164*G2164/$H$2160</f>
        <v>1.0926966292134832</v>
      </c>
      <c r="J2164" s="10">
        <v>1.06</v>
      </c>
      <c r="K2164" s="115">
        <f>+I2164*J2164</f>
        <v>1.1582584269662923</v>
      </c>
      <c r="L2164" s="10" t="s">
        <v>8</v>
      </c>
      <c r="M2164" s="1146"/>
      <c r="N2164" s="1103"/>
      <c r="O2164"/>
      <c r="P2164" s="159"/>
      <c r="Q2164" s="147"/>
      <c r="R2164" s="149"/>
    </row>
    <row r="2165" spans="1:24" ht="30" customHeight="1">
      <c r="A2165" s="10" t="s">
        <v>398</v>
      </c>
      <c r="B2165" s="1182" t="s">
        <v>1380</v>
      </c>
      <c r="C2165" s="1183"/>
      <c r="D2165" s="1184"/>
      <c r="E2165" s="115">
        <f>+(31.5+75)/2</f>
        <v>53.25</v>
      </c>
      <c r="F2165" s="10" t="s">
        <v>10</v>
      </c>
      <c r="G2165" s="614">
        <f>13*10</f>
        <v>130</v>
      </c>
      <c r="H2165" s="489" t="s">
        <v>6</v>
      </c>
      <c r="I2165" s="613">
        <f t="shared" si="49"/>
        <v>0.2991573033707865</v>
      </c>
      <c r="J2165" s="10">
        <v>1.04</v>
      </c>
      <c r="K2165" s="115">
        <f t="shared" si="50"/>
        <v>0.31112359550561797</v>
      </c>
      <c r="L2165" s="10" t="s">
        <v>8</v>
      </c>
      <c r="M2165" s="1146"/>
      <c r="N2165" s="1103"/>
      <c r="O2165"/>
      <c r="P2165" s="159"/>
      <c r="Q2165" s="147"/>
      <c r="R2165" s="149"/>
    </row>
    <row r="2166" spans="1:24" ht="30" customHeight="1">
      <c r="A2166" s="10" t="s">
        <v>398</v>
      </c>
      <c r="B2166" s="119" t="s">
        <v>401</v>
      </c>
      <c r="C2166" s="120"/>
      <c r="D2166" s="121"/>
      <c r="E2166" s="115">
        <f>+(5900+11300)/2</f>
        <v>8600</v>
      </c>
      <c r="F2166" s="10" t="s">
        <v>10</v>
      </c>
      <c r="G2166" s="13">
        <v>13</v>
      </c>
      <c r="H2166" s="489" t="s">
        <v>10</v>
      </c>
      <c r="I2166" s="613">
        <f t="shared" si="49"/>
        <v>4.8314606741573032</v>
      </c>
      <c r="J2166" s="10">
        <v>1.04</v>
      </c>
      <c r="K2166" s="115">
        <f t="shared" si="50"/>
        <v>5.0247191011235959</v>
      </c>
      <c r="L2166" s="10" t="s">
        <v>8</v>
      </c>
      <c r="M2166" s="1146"/>
      <c r="N2166" s="282"/>
      <c r="O2166"/>
      <c r="P2166" s="159"/>
      <c r="Q2166" s="147"/>
      <c r="R2166" s="149"/>
    </row>
    <row r="2167" spans="1:24" ht="30" customHeight="1">
      <c r="A2167" s="10" t="s">
        <v>398</v>
      </c>
      <c r="B2167" s="1182" t="s">
        <v>1381</v>
      </c>
      <c r="C2167" s="1183"/>
      <c r="D2167" s="1184"/>
      <c r="E2167" s="115">
        <f>+(605+925)/2</f>
        <v>765</v>
      </c>
      <c r="F2167" s="10" t="s">
        <v>10</v>
      </c>
      <c r="G2167" s="13">
        <v>13</v>
      </c>
      <c r="H2167" s="489" t="s">
        <v>10</v>
      </c>
      <c r="I2167" s="613">
        <f t="shared" si="49"/>
        <v>0.4297752808988764</v>
      </c>
      <c r="J2167" s="10">
        <v>1.04</v>
      </c>
      <c r="K2167" s="115">
        <f t="shared" si="50"/>
        <v>0.44696629213483147</v>
      </c>
      <c r="L2167" s="10" t="s">
        <v>8</v>
      </c>
      <c r="M2167" s="1146"/>
      <c r="O2167" s="159"/>
      <c r="P2167" s="147"/>
      <c r="Q2167" s="149"/>
      <c r="T2167" s="38"/>
      <c r="U2167" s="38"/>
      <c r="V2167" s="38"/>
      <c r="W2167" s="38"/>
      <c r="X2167" s="38"/>
    </row>
    <row r="2168" spans="1:24" s="38" customFormat="1" ht="30" customHeight="1">
      <c r="A2168" s="10" t="s">
        <v>398</v>
      </c>
      <c r="B2168" s="1182" t="s">
        <v>403</v>
      </c>
      <c r="C2168" s="1183"/>
      <c r="D2168" s="1184"/>
      <c r="E2168" s="115">
        <f>+(1060+3175)/2</f>
        <v>2117.5</v>
      </c>
      <c r="F2168" s="10" t="s">
        <v>10</v>
      </c>
      <c r="G2168" s="13">
        <v>13</v>
      </c>
      <c r="H2168" s="489" t="s">
        <v>10</v>
      </c>
      <c r="I2168" s="613">
        <f t="shared" si="49"/>
        <v>1.1896067415730338</v>
      </c>
      <c r="J2168" s="10">
        <v>1.04</v>
      </c>
      <c r="K2168" s="115">
        <f t="shared" si="50"/>
        <v>1.2371910112359552</v>
      </c>
      <c r="L2168" s="10" t="s">
        <v>8</v>
      </c>
      <c r="M2168" s="1146"/>
      <c r="N2168" s="193"/>
      <c r="O2168" s="159"/>
      <c r="P2168" s="147"/>
      <c r="Q2168" s="149"/>
      <c r="T2168"/>
      <c r="U2168"/>
      <c r="V2168"/>
      <c r="W2168"/>
      <c r="X2168"/>
    </row>
    <row r="2169" spans="1:24" ht="30" customHeight="1">
      <c r="A2169" s="10" t="s">
        <v>377</v>
      </c>
      <c r="B2169" s="1182" t="s">
        <v>1200</v>
      </c>
      <c r="C2169" s="1183"/>
      <c r="D2169" s="1183"/>
      <c r="E2169" s="115">
        <v>3.31</v>
      </c>
      <c r="F2169" s="10" t="s">
        <v>8</v>
      </c>
      <c r="G2169" s="402"/>
      <c r="H2169" s="403"/>
      <c r="I2169" s="403"/>
      <c r="J2169" s="10">
        <v>1.05</v>
      </c>
      <c r="K2169" s="115">
        <f>+E2169*J2169</f>
        <v>3.4755000000000003</v>
      </c>
      <c r="L2169" s="10" t="s">
        <v>8</v>
      </c>
      <c r="M2169" s="1146"/>
      <c r="O2169" s="159"/>
      <c r="P2169" s="147"/>
      <c r="Q2169" s="149"/>
    </row>
    <row r="2170" spans="1:24" ht="30" customHeight="1">
      <c r="A2170" s="10"/>
      <c r="B2170" s="1375"/>
      <c r="C2170" s="1375"/>
      <c r="D2170" s="1375"/>
      <c r="E2170" s="115"/>
      <c r="F2170" s="402"/>
      <c r="G2170" s="403"/>
      <c r="H2170" s="403"/>
      <c r="I2170" s="10"/>
      <c r="J2170" s="10" t="s">
        <v>346</v>
      </c>
      <c r="K2170" s="115">
        <f>SUM(K2162:K2169)</f>
        <v>96.192627528089886</v>
      </c>
      <c r="L2170" s="10" t="s">
        <v>8</v>
      </c>
      <c r="M2170" s="1146"/>
      <c r="O2170" s="159"/>
      <c r="P2170" s="147"/>
      <c r="Q2170" s="149"/>
    </row>
    <row r="2171" spans="1:24" ht="30" customHeight="1">
      <c r="A2171" s="20"/>
      <c r="B2171" s="157"/>
      <c r="C2171" s="157"/>
      <c r="D2171" s="157"/>
      <c r="E2171" s="157"/>
      <c r="F2171" s="1174" t="s">
        <v>308</v>
      </c>
      <c r="G2171" s="1208" t="s">
        <v>309</v>
      </c>
      <c r="H2171" s="1208"/>
      <c r="I2171" s="1208"/>
      <c r="J2171" s="1208"/>
      <c r="K2171" s="326">
        <f>(1.06+1.08)/2</f>
        <v>1.07</v>
      </c>
      <c r="L2171" s="10"/>
      <c r="M2171" s="1146"/>
      <c r="O2171" s="159"/>
      <c r="P2171" s="147"/>
      <c r="Q2171" s="149"/>
    </row>
    <row r="2172" spans="1:24" ht="30" customHeight="1">
      <c r="A2172" s="20"/>
      <c r="B2172" s="157"/>
      <c r="C2172" s="157"/>
      <c r="D2172" s="157"/>
      <c r="E2172" s="157"/>
      <c r="F2172" s="1175"/>
      <c r="G2172" s="1209" t="s">
        <v>310</v>
      </c>
      <c r="H2172" s="1209"/>
      <c r="I2172" s="1209"/>
      <c r="J2172" s="1209"/>
      <c r="K2172" s="123">
        <v>1.07</v>
      </c>
      <c r="L2172" s="10"/>
      <c r="M2172" s="1146"/>
      <c r="O2172" s="159"/>
      <c r="P2172" s="147"/>
      <c r="Q2172" s="149"/>
    </row>
    <row r="2173" spans="1:24" ht="30" customHeight="1">
      <c r="A2173" s="10"/>
      <c r="B2173" s="10"/>
      <c r="C2173" s="13"/>
      <c r="D2173" s="13"/>
      <c r="E2173" s="13"/>
      <c r="F2173" s="13"/>
      <c r="G2173" s="13"/>
      <c r="H2173" s="13"/>
      <c r="I2173" s="13"/>
      <c r="J2173" s="10" t="s">
        <v>289</v>
      </c>
      <c r="K2173" s="14">
        <f>+K2170*K2171/K2172</f>
        <v>96.192627528089886</v>
      </c>
      <c r="L2173" s="10" t="s">
        <v>8</v>
      </c>
      <c r="M2173" s="1146"/>
      <c r="O2173" s="159"/>
      <c r="P2173" s="147"/>
      <c r="Q2173" s="149"/>
    </row>
    <row r="2174" spans="1:24" ht="30" customHeight="1">
      <c r="A2174" s="10"/>
      <c r="B2174" s="10"/>
      <c r="C2174" s="13"/>
      <c r="D2174" s="13"/>
      <c r="E2174" s="13"/>
      <c r="F2174" s="13"/>
      <c r="G2174" s="13"/>
      <c r="H2174" s="441"/>
      <c r="I2174" s="461" t="s">
        <v>385</v>
      </c>
      <c r="J2174" s="139">
        <f>VLOOKUP(B2160,'Mil Cost Premiums for RUCs'!$A$4:$R$266,18,FALSE)</f>
        <v>1.168693068754227</v>
      </c>
      <c r="K2174" s="14">
        <f>+K2173*J2174</f>
        <v>112.4196570573357</v>
      </c>
      <c r="L2174" s="10" t="s">
        <v>8</v>
      </c>
      <c r="M2174" s="1146"/>
      <c r="O2174" s="159"/>
      <c r="P2174" s="147"/>
      <c r="Q2174" s="149"/>
    </row>
    <row r="2175" spans="1:24" ht="60" customHeight="1">
      <c r="A2175" s="1336" t="s">
        <v>313</v>
      </c>
      <c r="B2175" s="1315"/>
      <c r="C2175" s="1315"/>
      <c r="D2175" s="1315"/>
      <c r="E2175" s="1315"/>
      <c r="F2175" s="1315"/>
      <c r="G2175" s="1315"/>
      <c r="H2175" s="1315"/>
      <c r="I2175" s="1315"/>
      <c r="J2175" s="1315"/>
      <c r="K2175" s="1315"/>
      <c r="L2175" s="1316"/>
      <c r="M2175" s="1146"/>
      <c r="O2175" s="159"/>
      <c r="P2175" s="147"/>
      <c r="Q2175" s="149"/>
    </row>
    <row r="2176" spans="1:24" ht="30" customHeight="1">
      <c r="A2176" s="1513" t="s">
        <v>314</v>
      </c>
      <c r="B2176" s="1514"/>
      <c r="C2176" s="1515"/>
      <c r="D2176" s="1270" t="s">
        <v>1382</v>
      </c>
      <c r="E2176" s="1371"/>
      <c r="F2176" s="1371"/>
      <c r="G2176" s="1371"/>
      <c r="H2176" s="1371"/>
      <c r="I2176" s="1371"/>
      <c r="J2176" s="1371"/>
      <c r="K2176" s="1371"/>
      <c r="L2176" s="1372"/>
      <c r="M2176" s="1146"/>
      <c r="O2176" s="159"/>
      <c r="P2176" s="147"/>
      <c r="Q2176" s="149"/>
    </row>
    <row r="2177" spans="1:24" ht="45" customHeight="1">
      <c r="A2177" s="1513" t="s">
        <v>316</v>
      </c>
      <c r="B2177" s="1514"/>
      <c r="C2177" s="1515"/>
      <c r="D2177" s="1270" t="s">
        <v>1383</v>
      </c>
      <c r="E2177" s="1371"/>
      <c r="F2177" s="1371"/>
      <c r="G2177" s="1371"/>
      <c r="H2177" s="1371"/>
      <c r="I2177" s="1371"/>
      <c r="J2177" s="1371"/>
      <c r="K2177" s="1371"/>
      <c r="L2177" s="1372"/>
      <c r="M2177" s="1146"/>
      <c r="O2177" s="159"/>
      <c r="P2177" s="147"/>
      <c r="Q2177" s="149"/>
    </row>
    <row r="2178" spans="1:24" ht="30" customHeight="1">
      <c r="A2178" s="1513" t="s">
        <v>317</v>
      </c>
      <c r="B2178" s="1514"/>
      <c r="C2178" s="1515"/>
      <c r="D2178" s="1270" t="s">
        <v>1384</v>
      </c>
      <c r="E2178" s="1371"/>
      <c r="F2178" s="1371"/>
      <c r="G2178" s="1371"/>
      <c r="H2178" s="1371"/>
      <c r="I2178" s="1371"/>
      <c r="J2178" s="1371"/>
      <c r="K2178" s="1371"/>
      <c r="L2178" s="1372"/>
      <c r="M2178" s="1146"/>
      <c r="O2178" s="159"/>
      <c r="P2178" s="147"/>
      <c r="Q2178" s="149"/>
    </row>
    <row r="2179" spans="1:24" ht="45" customHeight="1">
      <c r="A2179" s="1513" t="s">
        <v>318</v>
      </c>
      <c r="B2179" s="1514"/>
      <c r="C2179" s="1515"/>
      <c r="D2179" s="1270" t="s">
        <v>1385</v>
      </c>
      <c r="E2179" s="1371"/>
      <c r="F2179" s="1371"/>
      <c r="G2179" s="1371"/>
      <c r="H2179" s="1371"/>
      <c r="I2179" s="1371"/>
      <c r="J2179" s="1371"/>
      <c r="K2179" s="1371"/>
      <c r="L2179" s="1372"/>
      <c r="M2179" s="1146"/>
      <c r="O2179" s="159"/>
      <c r="P2179" s="147"/>
      <c r="Q2179" s="149"/>
    </row>
    <row r="2180" spans="1:24" ht="60" customHeight="1">
      <c r="A2180" s="1513" t="s">
        <v>320</v>
      </c>
      <c r="B2180" s="1514"/>
      <c r="C2180" s="1515"/>
      <c r="D2180" s="1270" t="s">
        <v>2731</v>
      </c>
      <c r="E2180" s="1371"/>
      <c r="F2180" s="1371"/>
      <c r="G2180" s="1371"/>
      <c r="H2180" s="1371"/>
      <c r="I2180" s="1371"/>
      <c r="J2180" s="1371"/>
      <c r="K2180" s="1371"/>
      <c r="L2180" s="1372"/>
      <c r="M2180" s="1146"/>
      <c r="N2180" s="282"/>
      <c r="O2180" s="34"/>
      <c r="P2180" s="283"/>
      <c r="Q2180" s="282"/>
      <c r="R2180" s="284"/>
    </row>
    <row r="2181" spans="1:24" ht="30" customHeight="1">
      <c r="A2181" s="1513" t="s">
        <v>322</v>
      </c>
      <c r="B2181" s="1514"/>
      <c r="C2181" s="1515"/>
      <c r="D2181" s="1270" t="s">
        <v>407</v>
      </c>
      <c r="E2181" s="1371"/>
      <c r="F2181" s="1371"/>
      <c r="G2181" s="1371"/>
      <c r="H2181" s="1371"/>
      <c r="I2181" s="1371"/>
      <c r="J2181" s="1371"/>
      <c r="K2181" s="1371"/>
      <c r="L2181" s="1372"/>
      <c r="M2181" s="1146"/>
      <c r="N2181" s="282"/>
      <c r="O2181" s="34"/>
      <c r="P2181" s="283"/>
      <c r="Q2181" s="282"/>
      <c r="R2181" s="284"/>
    </row>
    <row r="2182" spans="1:24" ht="30" customHeight="1">
      <c r="A2182" s="1513" t="s">
        <v>324</v>
      </c>
      <c r="B2182" s="1514"/>
      <c r="C2182" s="1515"/>
      <c r="D2182" s="1270" t="s">
        <v>1386</v>
      </c>
      <c r="E2182" s="1371"/>
      <c r="F2182" s="1371"/>
      <c r="G2182" s="1371"/>
      <c r="H2182" s="1371"/>
      <c r="I2182" s="1371"/>
      <c r="J2182" s="1371"/>
      <c r="K2182" s="1371"/>
      <c r="L2182" s="1372"/>
      <c r="M2182" s="1146"/>
      <c r="O2182" s="159"/>
      <c r="P2182" s="147"/>
      <c r="Q2182" s="149"/>
    </row>
    <row r="2183" spans="1:24" ht="75" customHeight="1">
      <c r="A2183" s="1513" t="s">
        <v>325</v>
      </c>
      <c r="B2183" s="1514"/>
      <c r="C2183" s="1515"/>
      <c r="D2183" s="1270" t="s">
        <v>391</v>
      </c>
      <c r="E2183" s="1371"/>
      <c r="F2183" s="1371"/>
      <c r="G2183" s="1371"/>
      <c r="H2183" s="1371"/>
      <c r="I2183" s="1371"/>
      <c r="J2183" s="1371"/>
      <c r="K2183" s="1371"/>
      <c r="L2183" s="1372"/>
      <c r="M2183" s="1146"/>
      <c r="O2183" s="159"/>
      <c r="P2183" s="147"/>
      <c r="Q2183" s="149"/>
    </row>
    <row r="2184" spans="1:24" ht="77.25" customHeight="1" thickBot="1">
      <c r="A2184" s="1458" t="s">
        <v>327</v>
      </c>
      <c r="B2184" s="1459"/>
      <c r="C2184" s="1580"/>
      <c r="D2184" s="1501" t="s">
        <v>2931</v>
      </c>
      <c r="E2184" s="1502"/>
      <c r="F2184" s="1502"/>
      <c r="G2184" s="1502"/>
      <c r="H2184" s="1502"/>
      <c r="I2184" s="1502"/>
      <c r="J2184" s="1502"/>
      <c r="K2184" s="1502"/>
      <c r="L2184" s="1503"/>
      <c r="M2184" s="1146"/>
      <c r="N2184" s="282"/>
      <c r="O2184"/>
      <c r="P2184" s="159"/>
      <c r="Q2184" s="147"/>
      <c r="R2184" s="149"/>
    </row>
    <row r="2185" spans="1:24" ht="30" customHeight="1" thickBot="1">
      <c r="A2185" s="1165"/>
      <c r="B2185" s="1166"/>
      <c r="C2185" s="1166"/>
      <c r="D2185" s="1166"/>
      <c r="E2185" s="1166"/>
      <c r="F2185" s="1166"/>
      <c r="G2185" s="1166"/>
      <c r="H2185" s="1166"/>
      <c r="I2185" s="1166"/>
      <c r="J2185" s="1166"/>
      <c r="K2185" s="1166"/>
      <c r="L2185" s="1167"/>
      <c r="M2185" s="1146"/>
      <c r="O2185" s="159"/>
      <c r="P2185" s="147"/>
      <c r="Q2185" s="149"/>
      <c r="T2185" s="38"/>
      <c r="U2185" s="38"/>
      <c r="V2185" s="38"/>
      <c r="W2185" s="38"/>
      <c r="X2185" s="38"/>
    </row>
    <row r="2186" spans="1:24" s="38" customFormat="1" ht="30" customHeight="1">
      <c r="A2186" s="27" t="s">
        <v>280</v>
      </c>
      <c r="B2186" s="82">
        <v>4421</v>
      </c>
      <c r="C2186" s="1228" t="s">
        <v>1387</v>
      </c>
      <c r="D2186" s="1229"/>
      <c r="E2186" s="74" t="s">
        <v>282</v>
      </c>
      <c r="F2186" s="75" t="s">
        <v>8</v>
      </c>
      <c r="G2186" s="58" t="s">
        <v>290</v>
      </c>
      <c r="H2186" s="344">
        <v>7403</v>
      </c>
      <c r="I2186" s="74" t="s">
        <v>283</v>
      </c>
      <c r="J2186" s="1199" t="s">
        <v>2579</v>
      </c>
      <c r="K2186" s="1230"/>
      <c r="L2186" s="1231"/>
      <c r="M2186" s="1146"/>
      <c r="N2186" s="193"/>
      <c r="O2186" s="159"/>
      <c r="P2186" s="147"/>
      <c r="Q2186" s="149"/>
      <c r="T2186"/>
      <c r="U2186"/>
      <c r="V2186"/>
      <c r="W2186"/>
      <c r="X2186"/>
    </row>
    <row r="2187" spans="1:24" ht="30" customHeight="1">
      <c r="A2187" s="35" t="s">
        <v>293</v>
      </c>
      <c r="B2187" s="1232" t="s">
        <v>284</v>
      </c>
      <c r="C2187" s="1232"/>
      <c r="D2187" s="1232"/>
      <c r="E2187" s="78" t="s">
        <v>294</v>
      </c>
      <c r="F2187" s="96" t="s">
        <v>295</v>
      </c>
      <c r="G2187" s="77"/>
      <c r="H2187" s="77"/>
      <c r="I2187" s="1233" t="s">
        <v>296</v>
      </c>
      <c r="J2187" s="1234"/>
      <c r="K2187" s="1206" t="s">
        <v>297</v>
      </c>
      <c r="L2187" s="1207"/>
      <c r="M2187" s="1146"/>
      <c r="O2187" s="159"/>
      <c r="P2187" s="147"/>
      <c r="Q2187" s="149"/>
    </row>
    <row r="2188" spans="1:24" ht="30" customHeight="1">
      <c r="A2188" s="48" t="s">
        <v>298</v>
      </c>
      <c r="B2188" s="1222" t="s">
        <v>1388</v>
      </c>
      <c r="C2188" s="1222"/>
      <c r="D2188" s="1222"/>
      <c r="E2188" s="98">
        <v>4200</v>
      </c>
      <c r="F2188" s="99">
        <v>149</v>
      </c>
      <c r="G2188" s="100"/>
      <c r="H2188" s="101"/>
      <c r="I2188" s="1192" t="s">
        <v>300</v>
      </c>
      <c r="J2188" s="1193"/>
      <c r="K2188" s="99">
        <f>+F2188</f>
        <v>149</v>
      </c>
      <c r="L2188" s="97" t="s">
        <v>8</v>
      </c>
      <c r="M2188" s="1146"/>
      <c r="O2188" s="159"/>
      <c r="P2188" s="147"/>
      <c r="Q2188" s="149"/>
    </row>
    <row r="2189" spans="1:24" ht="30" customHeight="1" thickBot="1">
      <c r="A2189" s="45"/>
      <c r="B2189" s="1224"/>
      <c r="C2189" s="1224"/>
      <c r="D2189" s="1224"/>
      <c r="E2189" s="1225"/>
      <c r="F2189" s="1226"/>
      <c r="G2189" s="1226"/>
      <c r="H2189" s="1227"/>
      <c r="I2189" s="18"/>
      <c r="J2189" s="79" t="s">
        <v>289</v>
      </c>
      <c r="K2189" s="103">
        <f>+K2188</f>
        <v>149</v>
      </c>
      <c r="L2189" s="20" t="s">
        <v>8</v>
      </c>
      <c r="M2189" s="1146"/>
      <c r="O2189" s="159"/>
      <c r="P2189" s="147"/>
      <c r="Q2189" s="149"/>
    </row>
    <row r="2190" spans="1:24" ht="30" customHeight="1" thickBot="1">
      <c r="A2190" s="1165"/>
      <c r="B2190" s="1166"/>
      <c r="C2190" s="1166"/>
      <c r="D2190" s="1166"/>
      <c r="E2190" s="1166"/>
      <c r="F2190" s="1166"/>
      <c r="G2190" s="1166"/>
      <c r="H2190" s="1166"/>
      <c r="I2190" s="1166"/>
      <c r="J2190" s="1166"/>
      <c r="K2190" s="1166"/>
      <c r="L2190" s="1167"/>
      <c r="M2190" s="1146"/>
      <c r="O2190" s="159"/>
      <c r="P2190" s="147"/>
      <c r="Q2190" s="149"/>
    </row>
    <row r="2191" spans="1:24" ht="30" customHeight="1">
      <c r="A2191" s="27" t="s">
        <v>280</v>
      </c>
      <c r="B2191" s="28">
        <v>4422</v>
      </c>
      <c r="C2191" s="1215" t="s">
        <v>1389</v>
      </c>
      <c r="D2191" s="1216"/>
      <c r="E2191" s="74" t="s">
        <v>282</v>
      </c>
      <c r="F2191" s="75" t="s">
        <v>8</v>
      </c>
      <c r="G2191" s="58" t="s">
        <v>290</v>
      </c>
      <c r="H2191" s="344">
        <v>2618</v>
      </c>
      <c r="I2191" s="74" t="s">
        <v>283</v>
      </c>
      <c r="J2191" s="1199" t="s">
        <v>2569</v>
      </c>
      <c r="K2191" s="1230"/>
      <c r="L2191" s="1231"/>
      <c r="M2191" s="1146"/>
      <c r="O2191" s="159"/>
      <c r="P2191" s="147"/>
      <c r="Q2191" s="149"/>
    </row>
    <row r="2192" spans="1:24" ht="30" customHeight="1">
      <c r="A2192" s="35" t="s">
        <v>293</v>
      </c>
      <c r="B2192" s="1299" t="s">
        <v>284</v>
      </c>
      <c r="C2192" s="1299"/>
      <c r="D2192" s="1299"/>
      <c r="E2192" s="78" t="s">
        <v>294</v>
      </c>
      <c r="F2192" s="96" t="s">
        <v>295</v>
      </c>
      <c r="G2192" s="77"/>
      <c r="H2192" s="77"/>
      <c r="I2192" s="1233" t="s">
        <v>426</v>
      </c>
      <c r="J2192" s="1234"/>
      <c r="K2192" s="1206" t="s">
        <v>297</v>
      </c>
      <c r="L2192" s="1207"/>
      <c r="M2192" s="1146"/>
      <c r="O2192" s="159"/>
      <c r="P2192" s="147"/>
      <c r="Q2192" s="149"/>
    </row>
    <row r="2193" spans="1:18" ht="30" customHeight="1">
      <c r="A2193" s="48">
        <v>44222</v>
      </c>
      <c r="B2193" s="1306" t="s">
        <v>1390</v>
      </c>
      <c r="C2193" s="1306"/>
      <c r="D2193" s="1306"/>
      <c r="E2193" s="98">
        <v>2250</v>
      </c>
      <c r="F2193" s="99">
        <v>75</v>
      </c>
      <c r="G2193" s="100"/>
      <c r="H2193" s="101"/>
      <c r="I2193" s="1192">
        <f>+'2019 MILCON Inflation Table'!F18</f>
        <v>0.94232233454704462</v>
      </c>
      <c r="J2193" s="1193"/>
      <c r="K2193" s="99">
        <f>+F2193*I2193</f>
        <v>70.674175091028346</v>
      </c>
      <c r="L2193" s="97" t="s">
        <v>8</v>
      </c>
      <c r="M2193" s="1146"/>
      <c r="O2193" s="159"/>
      <c r="P2193" s="147"/>
      <c r="Q2193" s="149"/>
    </row>
    <row r="2194" spans="1:18" ht="30" customHeight="1" thickBot="1">
      <c r="A2194" s="45"/>
      <c r="B2194" s="1307"/>
      <c r="C2194" s="1307"/>
      <c r="D2194" s="1307"/>
      <c r="E2194" s="1225"/>
      <c r="F2194" s="1226"/>
      <c r="G2194" s="1226"/>
      <c r="H2194" s="1227"/>
      <c r="I2194" s="18"/>
      <c r="J2194" s="79" t="s">
        <v>289</v>
      </c>
      <c r="K2194" s="103">
        <f>+K2193</f>
        <v>70.674175091028346</v>
      </c>
      <c r="L2194" s="20" t="s">
        <v>8</v>
      </c>
      <c r="M2194" s="1146"/>
      <c r="O2194" s="159"/>
      <c r="P2194" s="147"/>
      <c r="Q2194" s="149"/>
    </row>
    <row r="2195" spans="1:18" ht="30" customHeight="1" thickBot="1">
      <c r="A2195" s="1165"/>
      <c r="B2195" s="1166"/>
      <c r="C2195" s="1166"/>
      <c r="D2195" s="1166"/>
      <c r="E2195" s="1166"/>
      <c r="F2195" s="1166"/>
      <c r="G2195" s="1166"/>
      <c r="H2195" s="1166"/>
      <c r="I2195" s="1166"/>
      <c r="J2195" s="1166"/>
      <c r="K2195" s="1166"/>
      <c r="L2195" s="1167"/>
      <c r="M2195" s="1146"/>
      <c r="O2195" s="159"/>
      <c r="P2195" s="147"/>
      <c r="Q2195" s="149"/>
    </row>
    <row r="2196" spans="1:18" ht="30" customHeight="1">
      <c r="A2196" s="81" t="s">
        <v>280</v>
      </c>
      <c r="B2196" s="82">
        <v>4423</v>
      </c>
      <c r="C2196" s="1197" t="s">
        <v>1391</v>
      </c>
      <c r="D2196" s="1198"/>
      <c r="E2196" s="74" t="s">
        <v>282</v>
      </c>
      <c r="F2196" s="75" t="s">
        <v>8</v>
      </c>
      <c r="G2196" s="58" t="s">
        <v>290</v>
      </c>
      <c r="H2196" s="344">
        <v>1320</v>
      </c>
      <c r="I2196" s="74" t="s">
        <v>283</v>
      </c>
      <c r="J2196" s="1199" t="s">
        <v>2569</v>
      </c>
      <c r="K2196" s="1230"/>
      <c r="L2196" s="1231"/>
      <c r="M2196" s="1146"/>
      <c r="O2196" s="159"/>
      <c r="P2196" s="147"/>
      <c r="Q2196" s="149"/>
    </row>
    <row r="2197" spans="1:18" ht="30" customHeight="1">
      <c r="A2197" s="77" t="s">
        <v>293</v>
      </c>
      <c r="B2197" s="1232" t="s">
        <v>284</v>
      </c>
      <c r="C2197" s="1232"/>
      <c r="D2197" s="1232"/>
      <c r="E2197" s="77" t="s">
        <v>294</v>
      </c>
      <c r="F2197" s="96" t="s">
        <v>295</v>
      </c>
      <c r="G2197" s="1233"/>
      <c r="H2197" s="1234"/>
      <c r="I2197" s="1233" t="s">
        <v>426</v>
      </c>
      <c r="J2197" s="1234"/>
      <c r="K2197" s="1206" t="s">
        <v>297</v>
      </c>
      <c r="L2197" s="1207"/>
      <c r="M2197" s="1146"/>
      <c r="O2197" s="159"/>
      <c r="P2197" s="147"/>
      <c r="Q2197" s="149"/>
    </row>
    <row r="2198" spans="1:18" ht="30" customHeight="1">
      <c r="A2198" s="65">
        <v>44135</v>
      </c>
      <c r="B2198" s="1362" t="s">
        <v>1392</v>
      </c>
      <c r="C2198" s="1363"/>
      <c r="D2198" s="1364"/>
      <c r="E2198" s="500">
        <v>180</v>
      </c>
      <c r="F2198" s="617">
        <v>249</v>
      </c>
      <c r="G2198" s="1533"/>
      <c r="H2198" s="1534"/>
      <c r="I2198" s="1192">
        <f>+'2019 MILCON Inflation Table'!F18</f>
        <v>0.94232233454704462</v>
      </c>
      <c r="J2198" s="1193"/>
      <c r="K2198" s="343">
        <f>+F2198*I2198</f>
        <v>234.63826130221412</v>
      </c>
      <c r="L2198" s="65" t="s">
        <v>8</v>
      </c>
      <c r="M2198" s="1146"/>
      <c r="O2198" s="159"/>
      <c r="P2198" s="147"/>
      <c r="Q2198" s="149"/>
    </row>
    <row r="2199" spans="1:18" ht="30" customHeight="1" thickBot="1">
      <c r="A2199" s="20"/>
      <c r="B2199" s="1351" t="s">
        <v>2732</v>
      </c>
      <c r="C2199" s="1351"/>
      <c r="D2199" s="1351"/>
      <c r="E2199" s="1225"/>
      <c r="F2199" s="1226"/>
      <c r="G2199" s="1226"/>
      <c r="H2199" s="1227"/>
      <c r="I2199" s="18"/>
      <c r="J2199" s="79" t="s">
        <v>289</v>
      </c>
      <c r="K2199" s="107">
        <f>+K2198</f>
        <v>234.63826130221412</v>
      </c>
      <c r="L2199" s="20" t="s">
        <v>8</v>
      </c>
      <c r="M2199" s="1146"/>
      <c r="O2199" s="159"/>
      <c r="P2199" s="147"/>
      <c r="Q2199" s="149"/>
    </row>
    <row r="2200" spans="1:18" ht="30" customHeight="1" thickBot="1">
      <c r="A2200" s="1165"/>
      <c r="B2200" s="1166"/>
      <c r="C2200" s="1166"/>
      <c r="D2200" s="1166"/>
      <c r="E2200" s="1166"/>
      <c r="F2200" s="1166"/>
      <c r="G2200" s="1166"/>
      <c r="H2200" s="1166"/>
      <c r="I2200" s="1166"/>
      <c r="J2200" s="1166"/>
      <c r="K2200" s="1166"/>
      <c r="L2200" s="1167"/>
      <c r="M2200" s="1146"/>
      <c r="O2200" s="159"/>
      <c r="P2200" s="147"/>
      <c r="Q2200" s="149"/>
    </row>
    <row r="2201" spans="1:18" ht="30" customHeight="1">
      <c r="A2201" s="618" t="s">
        <v>280</v>
      </c>
      <c r="B2201" s="161">
        <v>4424</v>
      </c>
      <c r="C2201" s="1457" t="s">
        <v>1376</v>
      </c>
      <c r="D2201" s="1457"/>
      <c r="E2201" s="118" t="s">
        <v>282</v>
      </c>
      <c r="F2201" s="619" t="s">
        <v>8</v>
      </c>
      <c r="G2201" s="58" t="s">
        <v>290</v>
      </c>
      <c r="H2201" s="550">
        <v>20111</v>
      </c>
      <c r="I2201" s="216" t="s">
        <v>283</v>
      </c>
      <c r="J2201" s="1199" t="s">
        <v>2733</v>
      </c>
      <c r="K2201" s="1199"/>
      <c r="L2201" s="1200"/>
      <c r="M2201" s="1146"/>
      <c r="O2201" s="159"/>
      <c r="P2201" s="147"/>
      <c r="Q2201" s="149"/>
    </row>
    <row r="2202" spans="1:18" ht="30" customHeight="1">
      <c r="A2202" s="294" t="s">
        <v>304</v>
      </c>
      <c r="B2202" s="1324" t="s">
        <v>330</v>
      </c>
      <c r="C2202" s="1325"/>
      <c r="D2202" s="1326"/>
      <c r="E2202" s="219" t="s">
        <v>295</v>
      </c>
      <c r="F2202" s="219" t="s">
        <v>331</v>
      </c>
      <c r="G2202" s="620" t="s">
        <v>1393</v>
      </c>
      <c r="H2202" s="621" t="s">
        <v>1394</v>
      </c>
      <c r="I2202" s="449" t="s">
        <v>1235</v>
      </c>
      <c r="J2202" s="167" t="s">
        <v>305</v>
      </c>
      <c r="K2202" s="1206" t="s">
        <v>297</v>
      </c>
      <c r="L2202" s="1207"/>
      <c r="M2202" s="1146"/>
      <c r="O2202" s="159"/>
      <c r="P2202" s="147"/>
      <c r="Q2202" s="149"/>
    </row>
    <row r="2203" spans="1:18" ht="30" customHeight="1">
      <c r="A2203" s="24" t="s">
        <v>1366</v>
      </c>
      <c r="B2203" s="1162" t="s">
        <v>1377</v>
      </c>
      <c r="C2203" s="1163"/>
      <c r="D2203" s="1164"/>
      <c r="E2203" s="115">
        <v>79.39</v>
      </c>
      <c r="F2203" s="10" t="s">
        <v>8</v>
      </c>
      <c r="G2203" s="494"/>
      <c r="H2203" s="226"/>
      <c r="I2203" s="10"/>
      <c r="J2203" s="10">
        <v>1.05</v>
      </c>
      <c r="K2203" s="115">
        <f>+E2203*J2203</f>
        <v>83.359499999999997</v>
      </c>
      <c r="L2203" s="10" t="s">
        <v>8</v>
      </c>
      <c r="M2203" s="1146"/>
      <c r="N2203" s="282"/>
      <c r="O2203" s="34"/>
      <c r="P2203" s="283"/>
      <c r="Q2203" s="282"/>
      <c r="R2203" s="284"/>
    </row>
    <row r="2204" spans="1:18" ht="30" customHeight="1">
      <c r="A2204" s="24" t="s">
        <v>395</v>
      </c>
      <c r="B2204" s="1162" t="s">
        <v>1395</v>
      </c>
      <c r="C2204" s="1163"/>
      <c r="D2204" s="1164"/>
      <c r="E2204" s="115">
        <f>(19.15+29.75)/2</f>
        <v>24.45</v>
      </c>
      <c r="F2204" s="10" t="s">
        <v>1396</v>
      </c>
      <c r="G2204" s="622">
        <f>+E2204/H2201</f>
        <v>1.2157525732186365E-3</v>
      </c>
      <c r="H2204" s="13">
        <f>6*81</f>
        <v>486</v>
      </c>
      <c r="I2204" s="613">
        <f>+G2204*$H2204</f>
        <v>0.59085575058425732</v>
      </c>
      <c r="J2204" s="10">
        <v>1.06</v>
      </c>
      <c r="K2204" s="115">
        <f t="shared" ref="K2204:K2209" si="51">+I2204*J2204</f>
        <v>0.62630709561931275</v>
      </c>
      <c r="L2204" s="10" t="s">
        <v>8</v>
      </c>
      <c r="M2204" s="1146"/>
      <c r="O2204" s="159"/>
      <c r="P2204" s="147"/>
      <c r="Q2204" s="149"/>
    </row>
    <row r="2205" spans="1:18" ht="30" customHeight="1">
      <c r="A2205" s="24" t="s">
        <v>395</v>
      </c>
      <c r="B2205" s="1162" t="s">
        <v>1397</v>
      </c>
      <c r="C2205" s="1163"/>
      <c r="D2205" s="1164"/>
      <c r="E2205" s="115">
        <f>(1610+2280)/2</f>
        <v>1945</v>
      </c>
      <c r="F2205" s="10" t="s">
        <v>10</v>
      </c>
      <c r="G2205" s="623">
        <f>+E2205/H2201</f>
        <v>9.67132415096216E-2</v>
      </c>
      <c r="H2205" s="13">
        <v>6</v>
      </c>
      <c r="I2205" s="613">
        <f>+G2205*$H2205</f>
        <v>0.58027944905772966</v>
      </c>
      <c r="J2205" s="10">
        <v>1.06</v>
      </c>
      <c r="K2205" s="115">
        <f t="shared" si="51"/>
        <v>0.61509621600119346</v>
      </c>
      <c r="L2205" s="10" t="s">
        <v>8</v>
      </c>
      <c r="M2205" s="1146"/>
      <c r="O2205" s="159"/>
      <c r="P2205" s="147"/>
      <c r="Q2205" s="149"/>
    </row>
    <row r="2206" spans="1:18" ht="30" customHeight="1">
      <c r="A2206" s="24" t="s">
        <v>398</v>
      </c>
      <c r="B2206" s="1182" t="s">
        <v>1380</v>
      </c>
      <c r="C2206" s="1183"/>
      <c r="D2206" s="1184"/>
      <c r="E2206" s="115">
        <f>+(31.5+75)/2</f>
        <v>53.25</v>
      </c>
      <c r="F2206" s="10" t="s">
        <v>10</v>
      </c>
      <c r="G2206" s="623">
        <f>+E2206/$H$2201</f>
        <v>2.6478046840037791E-3</v>
      </c>
      <c r="H2206" s="13">
        <v>6</v>
      </c>
      <c r="I2206" s="613">
        <f>+G2206*H2206</f>
        <v>1.5886828104022675E-2</v>
      </c>
      <c r="J2206" s="10">
        <v>1.04</v>
      </c>
      <c r="K2206" s="115">
        <f t="shared" si="51"/>
        <v>1.6522301228183583E-2</v>
      </c>
      <c r="L2206" s="10" t="s">
        <v>8</v>
      </c>
      <c r="M2206" s="1146"/>
      <c r="N2206" s="1103"/>
      <c r="O2206"/>
      <c r="P2206" s="159"/>
      <c r="Q2206" s="147"/>
      <c r="R2206" s="149"/>
    </row>
    <row r="2207" spans="1:18" ht="30" customHeight="1">
      <c r="A2207" s="24" t="s">
        <v>398</v>
      </c>
      <c r="B2207" s="119" t="s">
        <v>401</v>
      </c>
      <c r="C2207" s="120"/>
      <c r="D2207" s="121"/>
      <c r="E2207" s="115">
        <f>+(5900+11300)/2</f>
        <v>8600</v>
      </c>
      <c r="F2207" s="10" t="s">
        <v>10</v>
      </c>
      <c r="G2207" s="623">
        <f>+E2207/$H$2201</f>
        <v>0.42762667197056337</v>
      </c>
      <c r="H2207" s="13">
        <v>6</v>
      </c>
      <c r="I2207" s="613">
        <f>+G2207*H2207</f>
        <v>2.5657600318233804</v>
      </c>
      <c r="J2207" s="10">
        <v>1.04</v>
      </c>
      <c r="K2207" s="115">
        <f t="shared" si="51"/>
        <v>2.6683904330963157</v>
      </c>
      <c r="L2207" s="10" t="s">
        <v>8</v>
      </c>
      <c r="M2207" s="1146"/>
      <c r="N2207" s="1103"/>
      <c r="O2207"/>
      <c r="P2207" s="159"/>
      <c r="Q2207" s="147"/>
      <c r="R2207" s="149"/>
    </row>
    <row r="2208" spans="1:18" ht="30" customHeight="1">
      <c r="A2208" s="24" t="s">
        <v>398</v>
      </c>
      <c r="B2208" s="1182" t="s">
        <v>1398</v>
      </c>
      <c r="C2208" s="1183"/>
      <c r="D2208" s="1184"/>
      <c r="E2208" s="115">
        <f>+(605+925)/2</f>
        <v>765</v>
      </c>
      <c r="F2208" s="10" t="s">
        <v>10</v>
      </c>
      <c r="G2208" s="623">
        <f>+E2208/$H$2201</f>
        <v>3.8038884192730348E-2</v>
      </c>
      <c r="H2208" s="13">
        <v>6</v>
      </c>
      <c r="I2208" s="613">
        <f>+G2208*H2208</f>
        <v>0.22823330515638207</v>
      </c>
      <c r="J2208" s="10">
        <v>1.04</v>
      </c>
      <c r="K2208" s="115">
        <f t="shared" si="51"/>
        <v>0.23736263736263735</v>
      </c>
      <c r="L2208" s="10" t="s">
        <v>8</v>
      </c>
      <c r="M2208" s="1146"/>
      <c r="N2208" s="1103"/>
      <c r="O2208"/>
      <c r="P2208" s="159"/>
      <c r="Q2208" s="147"/>
      <c r="R2208" s="149"/>
    </row>
    <row r="2209" spans="1:24" ht="30" customHeight="1">
      <c r="A2209" s="24" t="s">
        <v>398</v>
      </c>
      <c r="B2209" s="1182" t="s">
        <v>403</v>
      </c>
      <c r="C2209" s="1183"/>
      <c r="D2209" s="1184"/>
      <c r="E2209" s="115">
        <f>+(1060+3175)/2</f>
        <v>2117.5</v>
      </c>
      <c r="F2209" s="10" t="s">
        <v>10</v>
      </c>
      <c r="G2209" s="623">
        <f>+E2209/$H$2201</f>
        <v>0.10529063696484511</v>
      </c>
      <c r="H2209" s="13">
        <v>6</v>
      </c>
      <c r="I2209" s="613">
        <f>+G2209*H2209</f>
        <v>0.63174382178907074</v>
      </c>
      <c r="J2209" s="10">
        <v>1.04</v>
      </c>
      <c r="K2209" s="115">
        <f t="shared" si="51"/>
        <v>0.65701357466063359</v>
      </c>
      <c r="L2209" s="10" t="s">
        <v>8</v>
      </c>
      <c r="M2209" s="1146"/>
      <c r="N2209" s="1103"/>
      <c r="O2209"/>
      <c r="P2209" s="159"/>
      <c r="Q2209" s="147"/>
      <c r="R2209" s="149"/>
    </row>
    <row r="2210" spans="1:24" ht="30" customHeight="1">
      <c r="A2210" s="24" t="s">
        <v>377</v>
      </c>
      <c r="B2210" s="1182" t="s">
        <v>2735</v>
      </c>
      <c r="C2210" s="1183"/>
      <c r="D2210" s="1183"/>
      <c r="E2210" s="115">
        <v>3.53</v>
      </c>
      <c r="F2210" s="10" t="s">
        <v>8</v>
      </c>
      <c r="G2210" s="402"/>
      <c r="H2210" s="402"/>
      <c r="I2210" s="403"/>
      <c r="J2210" s="10">
        <v>1.05</v>
      </c>
      <c r="K2210" s="115">
        <f>+E2210*J2210</f>
        <v>3.7065000000000001</v>
      </c>
      <c r="L2210" s="6" t="s">
        <v>8</v>
      </c>
      <c r="M2210" s="1146"/>
      <c r="N2210" s="1103"/>
      <c r="O2210"/>
      <c r="P2210" s="159"/>
      <c r="Q2210" s="147"/>
      <c r="R2210" s="149"/>
    </row>
    <row r="2211" spans="1:24" ht="30" customHeight="1">
      <c r="A2211" s="24"/>
      <c r="B2211" s="1375"/>
      <c r="C2211" s="1375"/>
      <c r="D2211" s="1375"/>
      <c r="E2211" s="115"/>
      <c r="F2211" s="402"/>
      <c r="G2211" s="402"/>
      <c r="H2211" s="403"/>
      <c r="I2211" s="10"/>
      <c r="J2211" s="10" t="s">
        <v>346</v>
      </c>
      <c r="K2211" s="115">
        <f>SUM(K2203:K2210)</f>
        <v>91.886692257968278</v>
      </c>
      <c r="L2211" s="6" t="s">
        <v>8</v>
      </c>
      <c r="M2211" s="1146"/>
      <c r="N2211" s="1103"/>
      <c r="O2211"/>
      <c r="P2211" s="159"/>
      <c r="Q2211" s="147"/>
      <c r="R2211" s="149"/>
    </row>
    <row r="2212" spans="1:24" ht="30" customHeight="1">
      <c r="A2212" s="45"/>
      <c r="B2212" s="157"/>
      <c r="C2212" s="157"/>
      <c r="D2212" s="157"/>
      <c r="E2212" s="157"/>
      <c r="F2212" s="1174" t="s">
        <v>308</v>
      </c>
      <c r="G2212" s="1208" t="s">
        <v>309</v>
      </c>
      <c r="H2212" s="1208"/>
      <c r="I2212" s="1208"/>
      <c r="J2212" s="1208"/>
      <c r="K2212" s="415">
        <v>1.0900000000000001</v>
      </c>
      <c r="L2212" s="10"/>
      <c r="M2212" s="1146"/>
      <c r="N2212" s="1103"/>
      <c r="O2212"/>
      <c r="P2212" s="159"/>
      <c r="Q2212" s="147"/>
      <c r="R2212" s="149"/>
    </row>
    <row r="2213" spans="1:24" ht="30" customHeight="1">
      <c r="A2213" s="45"/>
      <c r="B2213" s="157"/>
      <c r="C2213" s="157"/>
      <c r="D2213" s="157"/>
      <c r="E2213" s="157"/>
      <c r="F2213" s="1175"/>
      <c r="G2213" s="1209" t="s">
        <v>310</v>
      </c>
      <c r="H2213" s="1209"/>
      <c r="I2213" s="1209"/>
      <c r="J2213" s="1209"/>
      <c r="K2213" s="123">
        <v>1.07</v>
      </c>
      <c r="L2213" s="10"/>
      <c r="M2213" s="1146"/>
      <c r="N2213" s="1103"/>
      <c r="O2213"/>
      <c r="P2213" s="159"/>
      <c r="Q2213" s="147"/>
      <c r="R2213" s="149"/>
    </row>
    <row r="2214" spans="1:24" ht="30" customHeight="1">
      <c r="A2214" s="24"/>
      <c r="B2214" s="10"/>
      <c r="C2214" s="13"/>
      <c r="D2214" s="13"/>
      <c r="E2214" s="13"/>
      <c r="F2214" s="13"/>
      <c r="G2214" s="13"/>
      <c r="H2214" s="13"/>
      <c r="I2214" s="13"/>
      <c r="J2214" s="13" t="s">
        <v>289</v>
      </c>
      <c r="K2214" s="14">
        <f>+K2211*K2212/K2213</f>
        <v>93.604200524472361</v>
      </c>
      <c r="L2214" s="6" t="s">
        <v>8</v>
      </c>
      <c r="M2214" s="1146"/>
      <c r="N2214" s="1103"/>
      <c r="O2214"/>
      <c r="P2214" s="159"/>
      <c r="Q2214" s="147"/>
      <c r="R2214" s="149"/>
    </row>
    <row r="2215" spans="1:24" ht="30" customHeight="1">
      <c r="A2215" s="24"/>
      <c r="B2215" s="24"/>
      <c r="C2215" s="47"/>
      <c r="D2215" s="47"/>
      <c r="E2215" s="47"/>
      <c r="G2215" s="47"/>
      <c r="H2215" s="47"/>
      <c r="I2215" s="554" t="s">
        <v>385</v>
      </c>
      <c r="J2215" s="178">
        <f>VLOOKUP(B2201,'Mil Cost Premiums for RUCs'!$A$4:$R$266,18,FALSE)</f>
        <v>1.168693068754227</v>
      </c>
      <c r="K2215" s="17">
        <f>+K2214*J2215</f>
        <v>109.39458035923163</v>
      </c>
      <c r="L2215" s="390" t="s">
        <v>8</v>
      </c>
      <c r="M2215" s="1146"/>
      <c r="N2215" s="1103"/>
      <c r="O2215"/>
      <c r="P2215" s="159"/>
      <c r="Q2215" s="147"/>
      <c r="R2215" s="149"/>
    </row>
    <row r="2216" spans="1:24" ht="60" customHeight="1">
      <c r="A2216" s="1425" t="s">
        <v>313</v>
      </c>
      <c r="B2216" s="1373"/>
      <c r="C2216" s="1373"/>
      <c r="D2216" s="1373"/>
      <c r="E2216" s="1373"/>
      <c r="F2216" s="1373"/>
      <c r="G2216" s="1373"/>
      <c r="H2216" s="1373"/>
      <c r="I2216" s="1373"/>
      <c r="J2216" s="1373"/>
      <c r="K2216" s="1373"/>
      <c r="L2216" s="1374"/>
      <c r="M2216" s="1146"/>
      <c r="N2216" s="1103"/>
      <c r="O2216"/>
      <c r="P2216" s="159"/>
      <c r="Q2216" s="147"/>
      <c r="R2216" s="149"/>
    </row>
    <row r="2217" spans="1:24" ht="30" customHeight="1">
      <c r="A2217" s="1406" t="s">
        <v>314</v>
      </c>
      <c r="B2217" s="1407"/>
      <c r="C2217" s="1408"/>
      <c r="D2217" s="1270" t="s">
        <v>1399</v>
      </c>
      <c r="E2217" s="1371"/>
      <c r="F2217" s="1371"/>
      <c r="G2217" s="1371"/>
      <c r="H2217" s="1371"/>
      <c r="I2217" s="1371"/>
      <c r="J2217" s="1371"/>
      <c r="K2217" s="1371"/>
      <c r="L2217" s="1372"/>
      <c r="M2217" s="1146"/>
      <c r="N2217" s="1103"/>
      <c r="O2217"/>
      <c r="P2217" s="159"/>
      <c r="Q2217" s="147"/>
      <c r="R2217" s="149"/>
      <c r="T2217" s="38"/>
      <c r="U2217" s="38"/>
      <c r="V2217" s="38"/>
      <c r="W2217" s="38"/>
      <c r="X2217" s="38"/>
    </row>
    <row r="2218" spans="1:24" s="38" customFormat="1" ht="45" customHeight="1">
      <c r="A2218" s="1406" t="s">
        <v>316</v>
      </c>
      <c r="B2218" s="1407"/>
      <c r="C2218" s="1408"/>
      <c r="D2218" s="1270" t="s">
        <v>1400</v>
      </c>
      <c r="E2218" s="1371"/>
      <c r="F2218" s="1371"/>
      <c r="G2218" s="1371"/>
      <c r="H2218" s="1371"/>
      <c r="I2218" s="1371"/>
      <c r="J2218" s="1371"/>
      <c r="K2218" s="1371"/>
      <c r="L2218" s="1372"/>
      <c r="M2218" s="1146"/>
      <c r="N2218" s="1103"/>
      <c r="P2218" s="159"/>
      <c r="Q2218" s="147"/>
      <c r="R2218" s="149"/>
      <c r="T2218" s="25"/>
      <c r="U2218" s="25"/>
      <c r="V2218" s="25"/>
      <c r="W2218" s="25"/>
      <c r="X2218" s="25"/>
    </row>
    <row r="2219" spans="1:24" s="25" customFormat="1" ht="30" customHeight="1">
      <c r="A2219" s="1406" t="s">
        <v>317</v>
      </c>
      <c r="B2219" s="1407"/>
      <c r="C2219" s="1408"/>
      <c r="D2219" s="1270" t="s">
        <v>1401</v>
      </c>
      <c r="E2219" s="1371"/>
      <c r="F2219" s="1371"/>
      <c r="G2219" s="1371"/>
      <c r="H2219" s="1371"/>
      <c r="I2219" s="1371"/>
      <c r="J2219" s="1371"/>
      <c r="K2219" s="1371"/>
      <c r="L2219" s="1372"/>
      <c r="M2219" s="1146"/>
      <c r="N2219" s="1103"/>
      <c r="P2219" s="229"/>
      <c r="Q2219" s="1103"/>
      <c r="R2219" s="230"/>
      <c r="T2219"/>
      <c r="U2219"/>
      <c r="V2219"/>
      <c r="W2219"/>
      <c r="X2219"/>
    </row>
    <row r="2220" spans="1:24" ht="45" customHeight="1">
      <c r="A2220" s="1406" t="s">
        <v>318</v>
      </c>
      <c r="B2220" s="1407"/>
      <c r="C2220" s="1408"/>
      <c r="D2220" s="1270" t="s">
        <v>1402</v>
      </c>
      <c r="E2220" s="1371"/>
      <c r="F2220" s="1371"/>
      <c r="G2220" s="1371"/>
      <c r="H2220" s="1371"/>
      <c r="I2220" s="1371"/>
      <c r="J2220" s="1371"/>
      <c r="K2220" s="1371"/>
      <c r="L2220" s="1372"/>
      <c r="M2220" s="1146"/>
      <c r="O2220" s="159"/>
      <c r="P2220" s="147"/>
      <c r="Q2220" s="149"/>
    </row>
    <row r="2221" spans="1:24" ht="60" customHeight="1">
      <c r="A2221" s="1406" t="s">
        <v>320</v>
      </c>
      <c r="B2221" s="1407"/>
      <c r="C2221" s="1408"/>
      <c r="D2221" s="1336" t="s">
        <v>2734</v>
      </c>
      <c r="E2221" s="1315"/>
      <c r="F2221" s="1315"/>
      <c r="G2221" s="1315"/>
      <c r="H2221" s="1315"/>
      <c r="I2221" s="1315"/>
      <c r="J2221" s="1315"/>
      <c r="K2221" s="1315"/>
      <c r="L2221" s="1316"/>
      <c r="M2221" s="1146"/>
      <c r="N2221" s="1103"/>
      <c r="O2221"/>
      <c r="P2221" s="159"/>
      <c r="Q2221" s="147"/>
      <c r="R2221" s="149"/>
    </row>
    <row r="2222" spans="1:24" ht="30" customHeight="1">
      <c r="A2222" s="1406" t="s">
        <v>322</v>
      </c>
      <c r="B2222" s="1407"/>
      <c r="C2222" s="1408"/>
      <c r="D2222" s="1270" t="s">
        <v>407</v>
      </c>
      <c r="E2222" s="1371"/>
      <c r="F2222" s="1371"/>
      <c r="G2222" s="1371"/>
      <c r="H2222" s="1371"/>
      <c r="I2222" s="1371"/>
      <c r="J2222" s="1371"/>
      <c r="K2222" s="1371"/>
      <c r="L2222" s="1372"/>
      <c r="M2222" s="1146"/>
      <c r="N2222" s="1103"/>
      <c r="O2222"/>
      <c r="P2222" s="159"/>
      <c r="Q2222" s="147"/>
      <c r="R2222" s="149"/>
    </row>
    <row r="2223" spans="1:24" ht="30" customHeight="1">
      <c r="A2223" s="1406" t="s">
        <v>324</v>
      </c>
      <c r="B2223" s="1407"/>
      <c r="C2223" s="1408"/>
      <c r="D2223" s="1270" t="s">
        <v>1386</v>
      </c>
      <c r="E2223" s="1371"/>
      <c r="F2223" s="1371"/>
      <c r="G2223" s="1371"/>
      <c r="H2223" s="1371"/>
      <c r="I2223" s="1371"/>
      <c r="J2223" s="1371"/>
      <c r="K2223" s="1371"/>
      <c r="L2223" s="1372"/>
      <c r="M2223" s="1146"/>
      <c r="N2223" s="1103"/>
      <c r="O2223"/>
      <c r="P2223" s="159"/>
      <c r="Q2223" s="147"/>
      <c r="R2223" s="149"/>
    </row>
    <row r="2224" spans="1:24" ht="75" customHeight="1">
      <c r="A2224" s="1406" t="s">
        <v>325</v>
      </c>
      <c r="B2224" s="1407"/>
      <c r="C2224" s="1408"/>
      <c r="D2224" s="1270" t="s">
        <v>391</v>
      </c>
      <c r="E2224" s="1371"/>
      <c r="F2224" s="1371"/>
      <c r="G2224" s="1371"/>
      <c r="H2224" s="1371"/>
      <c r="I2224" s="1371"/>
      <c r="J2224" s="1371"/>
      <c r="K2224" s="1371"/>
      <c r="L2224" s="1372"/>
      <c r="M2224" s="1146"/>
      <c r="N2224" s="1103"/>
      <c r="O2224"/>
      <c r="P2224" s="159"/>
      <c r="Q2224" s="147"/>
      <c r="R2224" s="149"/>
      <c r="T2224" s="25"/>
      <c r="U2224" s="25"/>
      <c r="V2224" s="25"/>
      <c r="W2224" s="25"/>
      <c r="X2224" s="25"/>
    </row>
    <row r="2225" spans="1:24" s="25" customFormat="1" ht="90" customHeight="1" thickBot="1">
      <c r="A2225" s="1602" t="s">
        <v>327</v>
      </c>
      <c r="B2225" s="1603"/>
      <c r="C2225" s="1604"/>
      <c r="D2225" s="1501" t="s">
        <v>2932</v>
      </c>
      <c r="E2225" s="1502"/>
      <c r="F2225" s="1502"/>
      <c r="G2225" s="1502"/>
      <c r="H2225" s="1502"/>
      <c r="I2225" s="1502"/>
      <c r="J2225" s="1502"/>
      <c r="K2225" s="1502"/>
      <c r="L2225" s="1503"/>
      <c r="M2225" s="1146"/>
      <c r="N2225" s="1103"/>
      <c r="P2225" s="229"/>
      <c r="Q2225" s="1103"/>
      <c r="R2225" s="230"/>
      <c r="T2225"/>
      <c r="U2225"/>
      <c r="V2225"/>
      <c r="W2225"/>
      <c r="X2225"/>
    </row>
    <row r="2226" spans="1:24" ht="30" customHeight="1" thickBot="1">
      <c r="A2226" s="1165"/>
      <c r="B2226" s="1166"/>
      <c r="C2226" s="1166"/>
      <c r="D2226" s="1166"/>
      <c r="E2226" s="1166"/>
      <c r="F2226" s="1166"/>
      <c r="G2226" s="1166"/>
      <c r="H2226" s="1166"/>
      <c r="I2226" s="1166"/>
      <c r="J2226" s="1166"/>
      <c r="K2226" s="1166"/>
      <c r="L2226" s="1167"/>
      <c r="M2226" s="1146"/>
      <c r="N2226" s="1103"/>
      <c r="O2226"/>
      <c r="P2226" s="159"/>
      <c r="Q2226" s="147"/>
      <c r="R2226" s="149"/>
    </row>
    <row r="2227" spans="1:24" ht="30" customHeight="1">
      <c r="A2227" s="27" t="s">
        <v>280</v>
      </c>
      <c r="B2227" s="82">
        <v>4425</v>
      </c>
      <c r="C2227" s="1197" t="s">
        <v>1403</v>
      </c>
      <c r="D2227" s="1198"/>
      <c r="E2227" s="74" t="s">
        <v>282</v>
      </c>
      <c r="F2227" s="75" t="s">
        <v>8</v>
      </c>
      <c r="G2227" s="58" t="s">
        <v>290</v>
      </c>
      <c r="H2227" s="215">
        <v>8034</v>
      </c>
      <c r="I2227" s="74" t="s">
        <v>283</v>
      </c>
      <c r="J2227" s="1199" t="s">
        <v>2529</v>
      </c>
      <c r="K2227" s="1199"/>
      <c r="L2227" s="1200"/>
      <c r="M2227" s="1146"/>
      <c r="N2227" s="1103"/>
      <c r="O2227"/>
      <c r="P2227" s="159"/>
      <c r="Q2227" s="147"/>
      <c r="R2227" s="149"/>
    </row>
    <row r="2228" spans="1:24" ht="30" customHeight="1">
      <c r="A2228" s="37" t="s">
        <v>304</v>
      </c>
      <c r="B2228" s="1201" t="s">
        <v>330</v>
      </c>
      <c r="C2228" s="1202"/>
      <c r="D2228" s="1203"/>
      <c r="E2228" s="150" t="s">
        <v>295</v>
      </c>
      <c r="F2228" s="150" t="s">
        <v>331</v>
      </c>
      <c r="G2228" s="1204" t="s">
        <v>332</v>
      </c>
      <c r="H2228" s="1205"/>
      <c r="I2228" s="77" t="s">
        <v>305</v>
      </c>
      <c r="J2228" s="77"/>
      <c r="K2228" s="1206" t="s">
        <v>297</v>
      </c>
      <c r="L2228" s="1207"/>
      <c r="M2228" s="1146"/>
      <c r="N2228" s="1103"/>
      <c r="O2228"/>
      <c r="P2228" s="159"/>
      <c r="Q2228" s="147"/>
      <c r="R2228" s="149"/>
    </row>
    <row r="2229" spans="1:24" ht="30" customHeight="1">
      <c r="A2229" s="45" t="s">
        <v>1404</v>
      </c>
      <c r="B2229" s="1179" t="s">
        <v>1405</v>
      </c>
      <c r="C2229" s="1180"/>
      <c r="D2229" s="1181"/>
      <c r="E2229" s="153">
        <v>72.599999999999994</v>
      </c>
      <c r="F2229" s="20" t="s">
        <v>8</v>
      </c>
      <c r="G2229" s="206"/>
      <c r="H2229" s="20"/>
      <c r="I2229" s="20">
        <v>1.05</v>
      </c>
      <c r="J2229" s="20"/>
      <c r="K2229" s="153">
        <f>+E2229*I2229</f>
        <v>76.23</v>
      </c>
      <c r="L2229" s="20" t="s">
        <v>8</v>
      </c>
      <c r="M2229" s="1146"/>
      <c r="N2229" s="282"/>
      <c r="O2229" s="34"/>
      <c r="P2229" s="283"/>
      <c r="Q2229" s="282"/>
      <c r="R2229" s="284"/>
    </row>
    <row r="2230" spans="1:24" ht="30" customHeight="1">
      <c r="A2230" s="45" t="s">
        <v>377</v>
      </c>
      <c r="B2230" s="1179" t="s">
        <v>1275</v>
      </c>
      <c r="C2230" s="1180"/>
      <c r="D2230" s="1180"/>
      <c r="E2230" s="153">
        <v>3.06</v>
      </c>
      <c r="F2230" s="20" t="s">
        <v>8</v>
      </c>
      <c r="G2230" s="395"/>
      <c r="H2230" s="329"/>
      <c r="I2230" s="20">
        <v>1.05</v>
      </c>
      <c r="J2230" s="20"/>
      <c r="K2230" s="153">
        <f>+E2230*I2230</f>
        <v>3.2130000000000001</v>
      </c>
      <c r="L2230" s="20" t="s">
        <v>8</v>
      </c>
      <c r="M2230" s="1146"/>
      <c r="N2230" s="1103"/>
      <c r="O2230"/>
      <c r="P2230" s="159"/>
      <c r="Q2230" s="147"/>
      <c r="R2230" s="149"/>
    </row>
    <row r="2231" spans="1:24" ht="30" customHeight="1">
      <c r="A2231" s="45"/>
      <c r="B2231" s="1176"/>
      <c r="C2231" s="1177"/>
      <c r="D2231" s="1178"/>
      <c r="E2231" s="153"/>
      <c r="F2231" s="317"/>
      <c r="G2231" s="395"/>
      <c r="H2231" s="329"/>
      <c r="I2231" s="20"/>
      <c r="J2231" s="20" t="s">
        <v>346</v>
      </c>
      <c r="K2231" s="153">
        <f>SUM(K2229:K2230)</f>
        <v>79.442999999999998</v>
      </c>
      <c r="L2231" s="20" t="s">
        <v>8</v>
      </c>
      <c r="M2231" s="1146"/>
      <c r="N2231" s="1103"/>
      <c r="O2231"/>
      <c r="P2231" s="159"/>
      <c r="Q2231" s="147"/>
      <c r="R2231" s="149"/>
    </row>
    <row r="2232" spans="1:24" ht="30" customHeight="1">
      <c r="A2232" s="45"/>
      <c r="B2232" s="1599" t="s">
        <v>2736</v>
      </c>
      <c r="C2232" s="1600"/>
      <c r="D2232" s="1601"/>
      <c r="E2232" s="153"/>
      <c r="F2232" s="1174" t="s">
        <v>308</v>
      </c>
      <c r="G2232" s="1208" t="s">
        <v>309</v>
      </c>
      <c r="H2232" s="1208"/>
      <c r="I2232" s="1208"/>
      <c r="J2232" s="1208"/>
      <c r="K2232" s="326">
        <v>1.08</v>
      </c>
      <c r="L2232" s="10"/>
      <c r="M2232" s="1146"/>
      <c r="N2232" s="1103"/>
      <c r="O2232"/>
      <c r="P2232" s="159"/>
      <c r="Q2232" s="147"/>
      <c r="R2232" s="149"/>
    </row>
    <row r="2233" spans="1:24" ht="30" customHeight="1">
      <c r="A2233" s="45"/>
      <c r="B2233" s="226"/>
      <c r="C2233" s="226"/>
      <c r="D2233" s="226"/>
      <c r="E2233" s="153"/>
      <c r="F2233" s="1175"/>
      <c r="G2233" s="1209" t="s">
        <v>310</v>
      </c>
      <c r="H2233" s="1209"/>
      <c r="I2233" s="1209"/>
      <c r="J2233" s="1209"/>
      <c r="K2233" s="123">
        <v>1.07</v>
      </c>
      <c r="L2233" s="10"/>
      <c r="M2233" s="1146"/>
      <c r="N2233" s="1103"/>
      <c r="O2233"/>
      <c r="P2233" s="159"/>
      <c r="Q2233" s="147"/>
      <c r="R2233" s="149"/>
    </row>
    <row r="2234" spans="1:24" ht="30" customHeight="1">
      <c r="A2234" s="45"/>
      <c r="B2234" s="20"/>
      <c r="C2234" s="18"/>
      <c r="D2234" s="18"/>
      <c r="E2234" s="18"/>
      <c r="F2234" s="18"/>
      <c r="G2234" s="18"/>
      <c r="H2234" s="18"/>
      <c r="I2234" s="18"/>
      <c r="J2234" s="20" t="s">
        <v>289</v>
      </c>
      <c r="K2234" s="23">
        <f>+K2231*K2232/K2233</f>
        <v>80.185457943925229</v>
      </c>
      <c r="L2234" s="20" t="s">
        <v>8</v>
      </c>
      <c r="M2234" s="1146"/>
      <c r="N2234" s="1103"/>
      <c r="O2234"/>
      <c r="P2234" s="159"/>
      <c r="Q2234" s="147"/>
      <c r="R2234" s="149"/>
    </row>
    <row r="2235" spans="1:24" ht="30" customHeight="1" thickBot="1">
      <c r="A2235" s="45"/>
      <c r="B2235" s="20"/>
      <c r="C2235" s="18"/>
      <c r="D2235" s="18"/>
      <c r="E2235" s="18"/>
      <c r="F2235" s="18"/>
      <c r="G2235" s="13"/>
      <c r="H2235" s="18"/>
      <c r="I2235" s="597" t="s">
        <v>312</v>
      </c>
      <c r="J2235" s="139">
        <f>VLOOKUP(B2227,'Mil Cost Premiums for RUCs'!$A$4:$R$266,18,FALSE)</f>
        <v>1.1255953609601996</v>
      </c>
      <c r="K2235" s="23">
        <f>+K2234*J2235</f>
        <v>90.25637947815143</v>
      </c>
      <c r="L2235" s="20" t="s">
        <v>8</v>
      </c>
      <c r="M2235" s="1146"/>
      <c r="N2235" s="1103"/>
      <c r="O2235"/>
      <c r="P2235" s="159"/>
      <c r="Q2235" s="147"/>
      <c r="R2235" s="149"/>
    </row>
    <row r="2236" spans="1:24" ht="30" customHeight="1" thickBot="1">
      <c r="A2236" s="1165"/>
      <c r="B2236" s="1166"/>
      <c r="C2236" s="1166"/>
      <c r="D2236" s="1166"/>
      <c r="E2236" s="1166"/>
      <c r="F2236" s="1166"/>
      <c r="G2236" s="1166"/>
      <c r="H2236" s="1166"/>
      <c r="I2236" s="1166"/>
      <c r="J2236" s="1166"/>
      <c r="K2236" s="1166"/>
      <c r="L2236" s="1167"/>
      <c r="M2236" s="1146"/>
      <c r="N2236" s="1103"/>
      <c r="O2236"/>
      <c r="P2236" s="159"/>
      <c r="Q2236" s="147"/>
      <c r="R2236" s="149"/>
    </row>
    <row r="2237" spans="1:24" ht="30" customHeight="1">
      <c r="A2237" s="27" t="s">
        <v>280</v>
      </c>
      <c r="B2237" s="82">
        <v>4426</v>
      </c>
      <c r="C2237" s="1197" t="s">
        <v>1407</v>
      </c>
      <c r="D2237" s="1198"/>
      <c r="E2237" s="74" t="s">
        <v>282</v>
      </c>
      <c r="F2237" s="75" t="s">
        <v>8</v>
      </c>
      <c r="G2237" s="58" t="s">
        <v>290</v>
      </c>
      <c r="H2237" s="215">
        <v>2387</v>
      </c>
      <c r="I2237" s="74" t="s">
        <v>283</v>
      </c>
      <c r="J2237" s="1199" t="s">
        <v>2529</v>
      </c>
      <c r="K2237" s="1199"/>
      <c r="L2237" s="1200"/>
      <c r="M2237" s="1146"/>
      <c r="N2237" s="1103"/>
      <c r="O2237"/>
      <c r="P2237" s="159"/>
      <c r="Q2237" s="147"/>
      <c r="R2237" s="149"/>
    </row>
    <row r="2238" spans="1:24" ht="30" customHeight="1">
      <c r="A2238" s="37" t="s">
        <v>304</v>
      </c>
      <c r="B2238" s="1201" t="s">
        <v>330</v>
      </c>
      <c r="C2238" s="1202"/>
      <c r="D2238" s="1203"/>
      <c r="E2238" s="150" t="s">
        <v>295</v>
      </c>
      <c r="F2238" s="150" t="s">
        <v>331</v>
      </c>
      <c r="G2238" s="1204" t="s">
        <v>332</v>
      </c>
      <c r="H2238" s="1205"/>
      <c r="I2238" s="77" t="s">
        <v>305</v>
      </c>
      <c r="J2238" s="77"/>
      <c r="K2238" s="1206" t="s">
        <v>297</v>
      </c>
      <c r="L2238" s="1207"/>
      <c r="M2238" s="1146"/>
      <c r="N2238" s="1103"/>
      <c r="O2238"/>
      <c r="P2238" s="159"/>
      <c r="Q2238" s="147"/>
      <c r="R2238" s="149"/>
    </row>
    <row r="2239" spans="1:24" ht="30" customHeight="1">
      <c r="A2239" s="45" t="s">
        <v>1408</v>
      </c>
      <c r="B2239" s="1267" t="s">
        <v>1409</v>
      </c>
      <c r="C2239" s="1267"/>
      <c r="D2239" s="1267"/>
      <c r="E2239" s="153">
        <v>22.3</v>
      </c>
      <c r="F2239" s="20" t="s">
        <v>8</v>
      </c>
      <c r="G2239" s="206"/>
      <c r="H2239" s="20"/>
      <c r="I2239" s="20">
        <v>1.08</v>
      </c>
      <c r="J2239" s="20"/>
      <c r="K2239" s="153">
        <f>+E2239*I2239</f>
        <v>24.084000000000003</v>
      </c>
      <c r="L2239" s="20" t="s">
        <v>8</v>
      </c>
      <c r="M2239" s="1146"/>
      <c r="N2239" s="1103"/>
      <c r="O2239"/>
      <c r="P2239" s="159"/>
      <c r="Q2239" s="147"/>
      <c r="R2239" s="149"/>
    </row>
    <row r="2240" spans="1:24" ht="30" customHeight="1">
      <c r="A2240" s="45"/>
      <c r="B2240" s="157"/>
      <c r="C2240" s="157"/>
      <c r="D2240" s="157"/>
      <c r="E2240" s="153"/>
      <c r="F2240" s="1174" t="s">
        <v>308</v>
      </c>
      <c r="G2240" s="1208" t="s">
        <v>309</v>
      </c>
      <c r="H2240" s="1208"/>
      <c r="I2240" s="1208"/>
      <c r="J2240" s="1208"/>
      <c r="K2240" s="326">
        <v>1.03</v>
      </c>
      <c r="L2240" s="10"/>
      <c r="M2240" s="1146"/>
      <c r="N2240" s="1103"/>
      <c r="O2240"/>
      <c r="P2240" s="159"/>
      <c r="Q2240" s="147"/>
      <c r="R2240" s="149"/>
    </row>
    <row r="2241" spans="1:24" ht="30" customHeight="1">
      <c r="A2241" s="45"/>
      <c r="B2241" s="157"/>
      <c r="C2241" s="157"/>
      <c r="D2241" s="157"/>
      <c r="E2241" s="153"/>
      <c r="F2241" s="1175"/>
      <c r="G2241" s="1209" t="s">
        <v>310</v>
      </c>
      <c r="H2241" s="1209"/>
      <c r="I2241" s="1209"/>
      <c r="J2241" s="1209"/>
      <c r="K2241" s="123">
        <v>1.07</v>
      </c>
      <c r="L2241" s="10"/>
      <c r="M2241" s="1146"/>
      <c r="N2241" s="282"/>
      <c r="O2241"/>
      <c r="P2241" s="159"/>
      <c r="Q2241" s="147"/>
      <c r="R2241" s="149"/>
    </row>
    <row r="2242" spans="1:24" ht="30" customHeight="1">
      <c r="A2242" s="45"/>
      <c r="B2242" s="20"/>
      <c r="C2242" s="18"/>
      <c r="D2242" s="18"/>
      <c r="E2242" s="18"/>
      <c r="F2242" s="18"/>
      <c r="G2242" s="18"/>
      <c r="H2242" s="18"/>
      <c r="I2242" s="18"/>
      <c r="J2242" s="18" t="s">
        <v>289</v>
      </c>
      <c r="K2242" s="23">
        <f>+K2239*K2240/K2241</f>
        <v>23.183663551401871</v>
      </c>
      <c r="L2242" s="20" t="s">
        <v>8</v>
      </c>
      <c r="M2242" s="1146"/>
      <c r="N2242" s="282"/>
      <c r="O2242"/>
      <c r="P2242" s="159"/>
      <c r="Q2242" s="147"/>
      <c r="R2242" s="149"/>
    </row>
    <row r="2243" spans="1:24" ht="30" customHeight="1" thickBot="1">
      <c r="A2243" s="45"/>
      <c r="B2243" s="20"/>
      <c r="C2243" s="18"/>
      <c r="D2243" s="18"/>
      <c r="E2243" s="18"/>
      <c r="F2243" s="18"/>
      <c r="G2243" s="160" t="s">
        <v>312</v>
      </c>
      <c r="H2243" s="18"/>
      <c r="I2243" s="18"/>
      <c r="J2243" s="139">
        <f>VLOOKUP(B2237,'Mil Cost Premiums for RUCs'!$A$4:$R$266,18,FALSE)</f>
        <v>1.0905505199999999</v>
      </c>
      <c r="K2243" s="23">
        <f>+K2242*J2243</f>
        <v>25.282956341486354</v>
      </c>
      <c r="L2243" s="20" t="s">
        <v>8</v>
      </c>
      <c r="M2243" s="1146"/>
      <c r="N2243" s="34"/>
      <c r="O2243" s="159"/>
      <c r="P2243" s="147"/>
      <c r="Q2243" s="149"/>
      <c r="T2243" s="38"/>
      <c r="U2243" s="38"/>
      <c r="V2243" s="38"/>
      <c r="W2243" s="38"/>
      <c r="X2243" s="38"/>
    </row>
    <row r="2244" spans="1:24" s="38" customFormat="1" ht="30" customHeight="1" thickBot="1">
      <c r="A2244" s="1165"/>
      <c r="B2244" s="1166"/>
      <c r="C2244" s="1166"/>
      <c r="D2244" s="1166"/>
      <c r="E2244" s="1166"/>
      <c r="F2244" s="1166"/>
      <c r="G2244" s="1166"/>
      <c r="H2244" s="1166"/>
      <c r="I2244" s="1166"/>
      <c r="J2244" s="1166"/>
      <c r="K2244" s="1166"/>
      <c r="L2244" s="1167"/>
      <c r="M2244" s="1146"/>
      <c r="N2244" s="193"/>
      <c r="O2244" s="159"/>
      <c r="P2244" s="147"/>
      <c r="Q2244" s="149"/>
      <c r="T2244"/>
      <c r="U2244"/>
      <c r="V2244"/>
      <c r="W2244"/>
      <c r="X2244"/>
    </row>
    <row r="2245" spans="1:24" ht="30" customHeight="1">
      <c r="A2245" s="27" t="s">
        <v>280</v>
      </c>
      <c r="B2245" s="28">
        <v>4427</v>
      </c>
      <c r="C2245" s="1215" t="s">
        <v>1410</v>
      </c>
      <c r="D2245" s="1216"/>
      <c r="E2245" s="30" t="s">
        <v>282</v>
      </c>
      <c r="F2245" s="31" t="s">
        <v>8</v>
      </c>
      <c r="G2245" s="58" t="s">
        <v>290</v>
      </c>
      <c r="H2245" s="336">
        <v>3551</v>
      </c>
      <c r="I2245" s="30" t="s">
        <v>283</v>
      </c>
      <c r="J2245" s="1199" t="s">
        <v>2870</v>
      </c>
      <c r="K2245" s="1230"/>
      <c r="L2245" s="1231"/>
      <c r="M2245" s="1146"/>
      <c r="O2245" s="159"/>
      <c r="P2245" s="147"/>
      <c r="Q2245" s="149"/>
    </row>
    <row r="2246" spans="1:24" ht="30" customHeight="1">
      <c r="A2246" s="35" t="s">
        <v>293</v>
      </c>
      <c r="B2246" s="1299" t="s">
        <v>284</v>
      </c>
      <c r="C2246" s="1299"/>
      <c r="D2246" s="1299"/>
      <c r="E2246" s="36" t="s">
        <v>294</v>
      </c>
      <c r="F2246" s="310" t="s">
        <v>295</v>
      </c>
      <c r="G2246" s="35"/>
      <c r="H2246" s="35"/>
      <c r="I2246" s="1233" t="s">
        <v>2515</v>
      </c>
      <c r="J2246" s="1234"/>
      <c r="K2246" s="1312" t="s">
        <v>297</v>
      </c>
      <c r="L2246" s="1313"/>
      <c r="M2246" s="1146"/>
      <c r="O2246" s="159"/>
      <c r="P2246" s="147"/>
      <c r="Q2246" s="149"/>
    </row>
    <row r="2247" spans="1:24" ht="30" customHeight="1">
      <c r="A2247" s="48" t="s">
        <v>298</v>
      </c>
      <c r="B2247" s="1306" t="s">
        <v>1412</v>
      </c>
      <c r="C2247" s="1306"/>
      <c r="D2247" s="1306"/>
      <c r="E2247" s="624">
        <v>21000</v>
      </c>
      <c r="F2247" s="625">
        <v>243</v>
      </c>
      <c r="G2247" s="358"/>
      <c r="H2247" s="481"/>
      <c r="I2247" s="1192">
        <f>+'2019 MILCON Inflation Table'!F13</f>
        <v>1.0963107786467188</v>
      </c>
      <c r="J2247" s="1193"/>
      <c r="K2247" s="625">
        <f>+F2247*I2247</f>
        <v>266.40351921115268</v>
      </c>
      <c r="L2247" s="48" t="s">
        <v>8</v>
      </c>
      <c r="M2247" s="1146"/>
      <c r="O2247" s="159"/>
      <c r="P2247" s="147"/>
      <c r="Q2247" s="149"/>
    </row>
    <row r="2248" spans="1:24" ht="30" customHeight="1" thickBot="1">
      <c r="A2248" s="45"/>
      <c r="B2248" s="1307"/>
      <c r="C2248" s="1307"/>
      <c r="D2248" s="1307"/>
      <c r="E2248" s="1605"/>
      <c r="F2248" s="1606"/>
      <c r="G2248" s="1606"/>
      <c r="H2248" s="1607"/>
      <c r="I2248" s="46"/>
      <c r="J2248" s="37" t="s">
        <v>289</v>
      </c>
      <c r="K2248" s="626">
        <f>+K2247</f>
        <v>266.40351921115268</v>
      </c>
      <c r="L2248" s="45" t="s">
        <v>8</v>
      </c>
      <c r="M2248" s="1146"/>
      <c r="O2248" s="159"/>
      <c r="P2248" s="147"/>
      <c r="Q2248" s="149"/>
    </row>
    <row r="2249" spans="1:24" ht="30" customHeight="1" thickBot="1">
      <c r="A2249" s="1165"/>
      <c r="B2249" s="1166"/>
      <c r="C2249" s="1166"/>
      <c r="D2249" s="1166"/>
      <c r="E2249" s="1166"/>
      <c r="F2249" s="1166"/>
      <c r="G2249" s="1166"/>
      <c r="H2249" s="1166"/>
      <c r="I2249" s="1166"/>
      <c r="J2249" s="1166"/>
      <c r="K2249" s="1166"/>
      <c r="L2249" s="1167"/>
      <c r="M2249" s="1146"/>
      <c r="O2249" s="159"/>
      <c r="P2249" s="147"/>
      <c r="Q2249" s="149"/>
    </row>
    <row r="2250" spans="1:24" ht="30" customHeight="1">
      <c r="A2250" s="27" t="s">
        <v>280</v>
      </c>
      <c r="B2250" s="82">
        <v>4428</v>
      </c>
      <c r="C2250" s="1197" t="s">
        <v>1413</v>
      </c>
      <c r="D2250" s="1198"/>
      <c r="E2250" s="74" t="s">
        <v>282</v>
      </c>
      <c r="F2250" s="75" t="s">
        <v>8</v>
      </c>
      <c r="G2250" s="58" t="s">
        <v>290</v>
      </c>
      <c r="H2250" s="215">
        <v>14600</v>
      </c>
      <c r="I2250" s="74" t="s">
        <v>283</v>
      </c>
      <c r="J2250" s="1199" t="s">
        <v>2529</v>
      </c>
      <c r="K2250" s="1199"/>
      <c r="L2250" s="1200"/>
      <c r="M2250" s="1146"/>
      <c r="O2250" s="159"/>
      <c r="P2250" s="147"/>
      <c r="Q2250" s="149"/>
    </row>
    <row r="2251" spans="1:24" ht="30" customHeight="1">
      <c r="A2251" s="37" t="s">
        <v>304</v>
      </c>
      <c r="B2251" s="1201" t="s">
        <v>330</v>
      </c>
      <c r="C2251" s="1202"/>
      <c r="D2251" s="1203"/>
      <c r="E2251" s="150" t="s">
        <v>295</v>
      </c>
      <c r="F2251" s="150" t="s">
        <v>331</v>
      </c>
      <c r="G2251" s="1204" t="s">
        <v>332</v>
      </c>
      <c r="H2251" s="1205"/>
      <c r="I2251" s="77" t="s">
        <v>305</v>
      </c>
      <c r="J2251" s="77"/>
      <c r="K2251" s="1206" t="s">
        <v>297</v>
      </c>
      <c r="L2251" s="1207"/>
      <c r="M2251" s="1146"/>
      <c r="O2251" s="159"/>
      <c r="P2251" s="147"/>
      <c r="Q2251" s="149"/>
    </row>
    <row r="2252" spans="1:24" ht="30" customHeight="1">
      <c r="A2252" s="45" t="s">
        <v>1414</v>
      </c>
      <c r="B2252" s="1179" t="s">
        <v>1415</v>
      </c>
      <c r="C2252" s="1180"/>
      <c r="D2252" s="1181"/>
      <c r="E2252" s="153">
        <v>80.25</v>
      </c>
      <c r="F2252" s="20" t="s">
        <v>8</v>
      </c>
      <c r="G2252" s="206"/>
      <c r="H2252" s="20"/>
      <c r="I2252" s="20">
        <v>1.03</v>
      </c>
      <c r="J2252" s="20"/>
      <c r="K2252" s="153">
        <f>+E2252*I2252</f>
        <v>82.657499999999999</v>
      </c>
      <c r="L2252" s="20" t="s">
        <v>8</v>
      </c>
      <c r="M2252" s="1146"/>
      <c r="O2252" s="159"/>
      <c r="P2252" s="147"/>
      <c r="Q2252" s="149"/>
    </row>
    <row r="2253" spans="1:24" ht="30" customHeight="1">
      <c r="A2253" s="45" t="s">
        <v>1416</v>
      </c>
      <c r="B2253" s="1179" t="s">
        <v>1417</v>
      </c>
      <c r="C2253" s="1180"/>
      <c r="D2253" s="1180"/>
      <c r="E2253" s="153">
        <v>3.13</v>
      </c>
      <c r="F2253" s="20" t="s">
        <v>8</v>
      </c>
      <c r="G2253" s="395"/>
      <c r="H2253" s="329"/>
      <c r="I2253" s="20">
        <v>1.03</v>
      </c>
      <c r="J2253" s="20"/>
      <c r="K2253" s="153">
        <f>+E2253*I2253</f>
        <v>3.2239</v>
      </c>
      <c r="L2253" s="20" t="s">
        <v>8</v>
      </c>
      <c r="M2253" s="1146"/>
      <c r="O2253" s="159"/>
      <c r="P2253" s="147"/>
      <c r="Q2253" s="149"/>
    </row>
    <row r="2254" spans="1:24" ht="30" customHeight="1">
      <c r="A2254" s="45"/>
      <c r="B2254" s="1176"/>
      <c r="C2254" s="1177"/>
      <c r="D2254" s="1178"/>
      <c r="E2254" s="153"/>
      <c r="F2254" s="317"/>
      <c r="G2254" s="395"/>
      <c r="H2254" s="329"/>
      <c r="I2254" s="20"/>
      <c r="J2254" s="20" t="s">
        <v>346</v>
      </c>
      <c r="K2254" s="153">
        <f>SUM(K2252:K2253)</f>
        <v>85.881399999999999</v>
      </c>
      <c r="L2254" s="20" t="s">
        <v>8</v>
      </c>
      <c r="M2254" s="1146"/>
      <c r="O2254" s="159"/>
      <c r="P2254" s="147"/>
      <c r="Q2254" s="149"/>
    </row>
    <row r="2255" spans="1:24" ht="30" customHeight="1">
      <c r="A2255" s="45"/>
      <c r="B2255" s="1599" t="s">
        <v>1406</v>
      </c>
      <c r="C2255" s="1600"/>
      <c r="D2255" s="1601"/>
      <c r="E2255" s="153"/>
      <c r="F2255" s="1174" t="s">
        <v>308</v>
      </c>
      <c r="G2255" s="1208" t="s">
        <v>309</v>
      </c>
      <c r="H2255" s="1208"/>
      <c r="I2255" s="1208"/>
      <c r="J2255" s="1208"/>
      <c r="K2255" s="326">
        <v>1.08</v>
      </c>
      <c r="L2255" s="10"/>
      <c r="M2255" s="1146"/>
      <c r="N2255" s="282"/>
      <c r="O2255" s="34"/>
      <c r="P2255" s="283"/>
      <c r="Q2255" s="282"/>
      <c r="R2255" s="284"/>
    </row>
    <row r="2256" spans="1:24" ht="30" customHeight="1">
      <c r="A2256" s="45"/>
      <c r="B2256" s="157"/>
      <c r="C2256" s="157"/>
      <c r="D2256" s="157"/>
      <c r="E2256" s="153"/>
      <c r="F2256" s="1175"/>
      <c r="G2256" s="1209" t="s">
        <v>310</v>
      </c>
      <c r="H2256" s="1209"/>
      <c r="I2256" s="1209"/>
      <c r="J2256" s="1209"/>
      <c r="K2256" s="123">
        <v>1.07</v>
      </c>
      <c r="L2256" s="10"/>
      <c r="M2256" s="1146"/>
      <c r="N2256" s="34"/>
      <c r="O2256" s="159"/>
      <c r="P2256" s="147"/>
      <c r="Q2256" s="149"/>
    </row>
    <row r="2257" spans="1:24" ht="30" customHeight="1">
      <c r="A2257" s="45"/>
      <c r="B2257" s="20"/>
      <c r="C2257" s="18"/>
      <c r="D2257" s="18"/>
      <c r="E2257" s="18"/>
      <c r="F2257" s="18"/>
      <c r="G2257" s="18"/>
      <c r="H2257" s="18"/>
      <c r="I2257" s="18"/>
      <c r="J2257" s="20" t="s">
        <v>289</v>
      </c>
      <c r="K2257" s="23">
        <f>+K2254*K2255/K2256</f>
        <v>86.684029906542051</v>
      </c>
      <c r="L2257" s="20" t="s">
        <v>8</v>
      </c>
      <c r="M2257" s="1146"/>
      <c r="N2257" s="34"/>
      <c r="O2257" s="159"/>
      <c r="P2257" s="147"/>
      <c r="Q2257" s="149"/>
    </row>
    <row r="2258" spans="1:24" ht="30" customHeight="1" thickBot="1">
      <c r="A2258" s="45"/>
      <c r="B2258" s="20"/>
      <c r="C2258" s="18"/>
      <c r="D2258" s="18"/>
      <c r="E2258" s="18"/>
      <c r="F2258" s="18"/>
      <c r="G2258" s="13"/>
      <c r="H2258" s="18"/>
      <c r="I2258" s="597" t="s">
        <v>312</v>
      </c>
      <c r="J2258" s="139">
        <f>VLOOKUP(B2250,'Mil Cost Premiums for RUCs'!$A$4:$R$266,18,FALSE)</f>
        <v>1.1025891562650529</v>
      </c>
      <c r="K2258" s="23">
        <f>+K2257*J2258</f>
        <v>95.576871396308817</v>
      </c>
      <c r="L2258" s="20" t="s">
        <v>8</v>
      </c>
      <c r="M2258" s="1146"/>
      <c r="N2258" s="282"/>
      <c r="O2258"/>
      <c r="P2258" s="159"/>
      <c r="Q2258" s="147"/>
      <c r="R2258" s="149"/>
    </row>
    <row r="2259" spans="1:24" ht="30" customHeight="1" thickBot="1">
      <c r="A2259" s="1165"/>
      <c r="B2259" s="1166"/>
      <c r="C2259" s="1166"/>
      <c r="D2259" s="1166"/>
      <c r="E2259" s="1166"/>
      <c r="F2259" s="1166"/>
      <c r="G2259" s="1166"/>
      <c r="H2259" s="1166"/>
      <c r="I2259" s="1166"/>
      <c r="J2259" s="1166"/>
      <c r="K2259" s="1166"/>
      <c r="L2259" s="1167"/>
      <c r="M2259" s="1146"/>
      <c r="N2259" s="282"/>
      <c r="O2259"/>
      <c r="P2259" s="159"/>
      <c r="Q2259" s="147"/>
      <c r="R2259" s="149"/>
    </row>
    <row r="2260" spans="1:24" ht="30" customHeight="1">
      <c r="A2260" s="81" t="s">
        <v>280</v>
      </c>
      <c r="B2260" s="82">
        <v>4511</v>
      </c>
      <c r="C2260" s="1197" t="s">
        <v>1418</v>
      </c>
      <c r="D2260" s="1198"/>
      <c r="E2260" s="74" t="s">
        <v>282</v>
      </c>
      <c r="F2260" s="75" t="s">
        <v>3</v>
      </c>
      <c r="G2260" s="58" t="s">
        <v>290</v>
      </c>
      <c r="H2260" s="215">
        <v>10281</v>
      </c>
      <c r="I2260" s="74" t="s">
        <v>283</v>
      </c>
      <c r="J2260" s="1199" t="s">
        <v>2529</v>
      </c>
      <c r="K2260" s="1199"/>
      <c r="L2260" s="1200"/>
      <c r="M2260" s="1146"/>
      <c r="N2260" s="282"/>
      <c r="O2260"/>
      <c r="P2260" s="159"/>
      <c r="Q2260" s="147"/>
      <c r="R2260" s="149"/>
    </row>
    <row r="2261" spans="1:24" ht="30" customHeight="1">
      <c r="A2261" s="79" t="s">
        <v>304</v>
      </c>
      <c r="B2261" s="1201" t="s">
        <v>330</v>
      </c>
      <c r="C2261" s="1202"/>
      <c r="D2261" s="1203"/>
      <c r="E2261" s="150" t="s">
        <v>295</v>
      </c>
      <c r="F2261" s="150" t="s">
        <v>331</v>
      </c>
      <c r="G2261" s="1204" t="s">
        <v>332</v>
      </c>
      <c r="H2261" s="1205"/>
      <c r="I2261" s="77" t="s">
        <v>305</v>
      </c>
      <c r="J2261" s="77"/>
      <c r="K2261" s="1206" t="s">
        <v>297</v>
      </c>
      <c r="L2261" s="1207"/>
      <c r="M2261" s="1146"/>
      <c r="N2261" s="282"/>
      <c r="O2261"/>
      <c r="P2261" s="159"/>
      <c r="Q2261" s="147"/>
      <c r="R2261" s="149"/>
    </row>
    <row r="2262" spans="1:24" ht="30" customHeight="1">
      <c r="A2262" s="20" t="s">
        <v>342</v>
      </c>
      <c r="B2262" s="1182" t="s">
        <v>1353</v>
      </c>
      <c r="C2262" s="1183"/>
      <c r="D2262" s="1184"/>
      <c r="E2262" s="153">
        <v>0.71</v>
      </c>
      <c r="F2262" s="20" t="s">
        <v>8</v>
      </c>
      <c r="G2262" s="206">
        <v>9</v>
      </c>
      <c r="H2262" s="20" t="s">
        <v>1354</v>
      </c>
      <c r="I2262" s="415">
        <v>1.05</v>
      </c>
      <c r="J2262" s="20"/>
      <c r="K2262" s="153">
        <f>+E2262*I2262*G2262</f>
        <v>6.7094999999999994</v>
      </c>
      <c r="L2262" s="20" t="s">
        <v>3</v>
      </c>
      <c r="M2262" s="1146"/>
      <c r="N2262" s="282"/>
      <c r="O2262"/>
      <c r="P2262" s="159"/>
      <c r="Q2262" s="147"/>
      <c r="R2262" s="149"/>
    </row>
    <row r="2263" spans="1:24" ht="30" customHeight="1">
      <c r="A2263" s="20" t="s">
        <v>342</v>
      </c>
      <c r="B2263" s="1162" t="s">
        <v>1355</v>
      </c>
      <c r="C2263" s="1163"/>
      <c r="D2263" s="1164"/>
      <c r="E2263" s="512">
        <v>2.12</v>
      </c>
      <c r="F2263" s="20" t="s">
        <v>8</v>
      </c>
      <c r="G2263" s="206">
        <v>9</v>
      </c>
      <c r="H2263" s="20" t="s">
        <v>1354</v>
      </c>
      <c r="I2263" s="415">
        <v>1.05</v>
      </c>
      <c r="J2263" s="20"/>
      <c r="K2263" s="153">
        <f>+E2263*I2263*G2263</f>
        <v>20.034000000000002</v>
      </c>
      <c r="L2263" s="20" t="s">
        <v>3</v>
      </c>
      <c r="M2263" s="1146"/>
      <c r="N2263" s="282"/>
      <c r="O2263"/>
      <c r="P2263" s="159"/>
      <c r="Q2263" s="147"/>
      <c r="R2263" s="149"/>
    </row>
    <row r="2264" spans="1:24" ht="30" customHeight="1">
      <c r="A2264" s="20" t="s">
        <v>342</v>
      </c>
      <c r="B2264" s="1182" t="s">
        <v>1356</v>
      </c>
      <c r="C2264" s="1183"/>
      <c r="D2264" s="1183"/>
      <c r="E2264" s="153">
        <v>3.75</v>
      </c>
      <c r="F2264" s="317" t="s">
        <v>8</v>
      </c>
      <c r="G2264" s="206">
        <v>9</v>
      </c>
      <c r="H2264" s="20" t="s">
        <v>1354</v>
      </c>
      <c r="I2264" s="415">
        <v>1.05</v>
      </c>
      <c r="J2264" s="20"/>
      <c r="K2264" s="153">
        <f>+E2264*I2264*G2264</f>
        <v>35.4375</v>
      </c>
      <c r="L2264" s="20" t="s">
        <v>3</v>
      </c>
      <c r="M2264" s="1146"/>
      <c r="N2264" s="282"/>
      <c r="O2264"/>
      <c r="P2264" s="159"/>
      <c r="Q2264" s="147"/>
      <c r="R2264" s="149"/>
    </row>
    <row r="2265" spans="1:24" ht="30" customHeight="1">
      <c r="A2265" s="20"/>
      <c r="B2265" s="1176"/>
      <c r="C2265" s="1177"/>
      <c r="D2265" s="1178"/>
      <c r="E2265" s="153"/>
      <c r="F2265" s="20"/>
      <c r="G2265" s="18"/>
      <c r="H2265" s="1168" t="s">
        <v>1419</v>
      </c>
      <c r="I2265" s="1169"/>
      <c r="J2265" s="1170"/>
      <c r="K2265" s="627">
        <f>AVERAGE(K2263:K2264)</f>
        <v>27.735750000000003</v>
      </c>
      <c r="L2265" s="20" t="s">
        <v>3</v>
      </c>
      <c r="M2265" s="1146"/>
      <c r="N2265" s="282"/>
      <c r="O2265"/>
      <c r="P2265" s="159"/>
      <c r="Q2265" s="147"/>
      <c r="R2265" s="149"/>
    </row>
    <row r="2266" spans="1:24" ht="30" customHeight="1">
      <c r="A2266" s="20"/>
      <c r="B2266" s="1608"/>
      <c r="C2266" s="1609"/>
      <c r="D2266" s="1610"/>
      <c r="E2266" s="153"/>
      <c r="F2266" s="317"/>
      <c r="G2266" s="206"/>
      <c r="H2266" s="20"/>
      <c r="I2266" s="20"/>
      <c r="J2266" s="20" t="s">
        <v>346</v>
      </c>
      <c r="K2266" s="153">
        <f>+K2265+K2262</f>
        <v>34.445250000000001</v>
      </c>
      <c r="L2266" s="20" t="s">
        <v>3</v>
      </c>
      <c r="M2266" s="1146"/>
      <c r="N2266" s="282"/>
      <c r="O2266"/>
      <c r="P2266" s="159"/>
      <c r="Q2266" s="147"/>
      <c r="R2266" s="149"/>
    </row>
    <row r="2267" spans="1:24" ht="30" customHeight="1">
      <c r="A2267" s="45"/>
      <c r="B2267" s="157"/>
      <c r="C2267" s="157"/>
      <c r="D2267" s="157"/>
      <c r="E2267" s="153"/>
      <c r="F2267" s="1174" t="s">
        <v>308</v>
      </c>
      <c r="G2267" s="1208" t="s">
        <v>309</v>
      </c>
      <c r="H2267" s="1208"/>
      <c r="I2267" s="1208"/>
      <c r="J2267" s="1208"/>
      <c r="K2267" s="326">
        <v>1.06</v>
      </c>
      <c r="L2267" s="10"/>
      <c r="M2267" s="1146"/>
      <c r="N2267" s="282"/>
      <c r="O2267"/>
      <c r="P2267" s="159"/>
      <c r="Q2267" s="147"/>
      <c r="R2267" s="149"/>
    </row>
    <row r="2268" spans="1:24" ht="30" customHeight="1">
      <c r="A2268" s="45"/>
      <c r="B2268" s="157"/>
      <c r="C2268" s="157"/>
      <c r="D2268" s="157"/>
      <c r="E2268" s="153"/>
      <c r="F2268" s="1175"/>
      <c r="G2268" s="1209" t="s">
        <v>310</v>
      </c>
      <c r="H2268" s="1209"/>
      <c r="I2268" s="1209"/>
      <c r="J2268" s="1209"/>
      <c r="K2268" s="123">
        <v>1.07</v>
      </c>
      <c r="L2268" s="10"/>
      <c r="M2268" s="1146"/>
      <c r="N2268" s="282"/>
      <c r="O2268"/>
      <c r="P2268" s="159"/>
      <c r="Q2268" s="147"/>
      <c r="R2268" s="149"/>
    </row>
    <row r="2269" spans="1:24" ht="30" customHeight="1">
      <c r="A2269" s="20"/>
      <c r="B2269" s="1176"/>
      <c r="C2269" s="1177"/>
      <c r="D2269" s="1178"/>
      <c r="E2269" s="153"/>
      <c r="F2269" s="317"/>
      <c r="G2269" s="395"/>
      <c r="H2269" s="329"/>
      <c r="I2269" s="226"/>
      <c r="J2269" s="317" t="s">
        <v>289</v>
      </c>
      <c r="K2269" s="23">
        <f>+K2266*K2267/K2268</f>
        <v>34.123331775700933</v>
      </c>
      <c r="L2269" s="20" t="s">
        <v>3</v>
      </c>
      <c r="M2269" s="1146"/>
      <c r="N2269" s="34"/>
      <c r="O2269" s="159"/>
      <c r="P2269" s="147"/>
      <c r="Q2269" s="149"/>
      <c r="T2269" s="38"/>
      <c r="U2269" s="38"/>
      <c r="V2269" s="38"/>
      <c r="W2269" s="38"/>
      <c r="X2269" s="38"/>
    </row>
    <row r="2270" spans="1:24" s="38" customFormat="1" ht="30" customHeight="1" thickBot="1">
      <c r="A2270" s="20"/>
      <c r="B2270" s="1176"/>
      <c r="C2270" s="1177"/>
      <c r="D2270" s="1178"/>
      <c r="E2270" s="153"/>
      <c r="F2270" s="317"/>
      <c r="G2270" s="160" t="s">
        <v>312</v>
      </c>
      <c r="H2270" s="329"/>
      <c r="I2270" s="317"/>
      <c r="J2270" s="139">
        <f>VLOOKUP(B2260,'Mil Cost Premiums for RUCs'!$A$4:$R$266,18,FALSE)</f>
        <v>1.0905505199999999</v>
      </c>
      <c r="K2270" s="23">
        <f>+K2269*J2270</f>
        <v>37.213217212123169</v>
      </c>
      <c r="L2270" s="20" t="s">
        <v>3</v>
      </c>
      <c r="M2270" s="1146"/>
      <c r="N2270" s="193"/>
      <c r="O2270" s="159"/>
      <c r="P2270" s="147"/>
      <c r="Q2270" s="149"/>
      <c r="T2270"/>
      <c r="U2270"/>
      <c r="V2270"/>
      <c r="W2270"/>
      <c r="X2270"/>
    </row>
    <row r="2271" spans="1:24" ht="30" customHeight="1" thickBot="1">
      <c r="A2271" s="1165"/>
      <c r="B2271" s="1166"/>
      <c r="C2271" s="1166"/>
      <c r="D2271" s="1166"/>
      <c r="E2271" s="1166"/>
      <c r="F2271" s="1166"/>
      <c r="G2271" s="1166"/>
      <c r="H2271" s="1166"/>
      <c r="I2271" s="1166"/>
      <c r="J2271" s="1166"/>
      <c r="K2271" s="1166"/>
      <c r="L2271" s="1167"/>
      <c r="M2271" s="1146"/>
      <c r="O2271" s="159"/>
      <c r="P2271" s="147"/>
      <c r="Q2271" s="149"/>
    </row>
    <row r="2272" spans="1:24" ht="30" customHeight="1">
      <c r="A2272" s="108" t="s">
        <v>280</v>
      </c>
      <c r="B2272" s="163">
        <v>4521</v>
      </c>
      <c r="C2272" s="1290" t="s">
        <v>1420</v>
      </c>
      <c r="D2272" s="1291"/>
      <c r="E2272" s="216" t="s">
        <v>282</v>
      </c>
      <c r="F2272" s="217" t="s">
        <v>3</v>
      </c>
      <c r="G2272" s="58" t="s">
        <v>290</v>
      </c>
      <c r="H2272" s="218">
        <v>17452</v>
      </c>
      <c r="I2272" s="216" t="s">
        <v>283</v>
      </c>
      <c r="J2272" s="1199" t="s">
        <v>2529</v>
      </c>
      <c r="K2272" s="1199"/>
      <c r="L2272" s="1200"/>
      <c r="M2272" s="1146"/>
      <c r="O2272" s="159"/>
      <c r="P2272" s="147"/>
      <c r="Q2272" s="149"/>
    </row>
    <row r="2273" spans="1:24" ht="30" customHeight="1">
      <c r="A2273" s="294" t="s">
        <v>304</v>
      </c>
      <c r="B2273" s="1324" t="s">
        <v>330</v>
      </c>
      <c r="C2273" s="1325"/>
      <c r="D2273" s="1326"/>
      <c r="E2273" s="219" t="s">
        <v>295</v>
      </c>
      <c r="F2273" s="219" t="s">
        <v>331</v>
      </c>
      <c r="G2273" s="1327" t="s">
        <v>332</v>
      </c>
      <c r="H2273" s="1328"/>
      <c r="I2273" s="167" t="s">
        <v>305</v>
      </c>
      <c r="J2273" s="167"/>
      <c r="K2273" s="1206" t="s">
        <v>297</v>
      </c>
      <c r="L2273" s="1207"/>
      <c r="M2273" s="1146"/>
      <c r="O2273" s="159"/>
      <c r="P2273" s="147"/>
      <c r="Q2273" s="149"/>
    </row>
    <row r="2274" spans="1:24" ht="30" customHeight="1">
      <c r="A2274" s="24" t="s">
        <v>342</v>
      </c>
      <c r="B2274" s="1182" t="s">
        <v>1353</v>
      </c>
      <c r="C2274" s="1183"/>
      <c r="D2274" s="1184"/>
      <c r="E2274" s="115">
        <v>0.71</v>
      </c>
      <c r="F2274" s="10" t="s">
        <v>8</v>
      </c>
      <c r="G2274" s="494">
        <v>9</v>
      </c>
      <c r="H2274" s="10" t="s">
        <v>1354</v>
      </c>
      <c r="I2274" s="415">
        <v>1.05</v>
      </c>
      <c r="J2274" s="10"/>
      <c r="K2274" s="115">
        <f>+E2274*I2274*G2274</f>
        <v>6.7094999999999994</v>
      </c>
      <c r="L2274" s="10" t="s">
        <v>3</v>
      </c>
      <c r="M2274" s="1146"/>
      <c r="O2274" s="159"/>
      <c r="P2274" s="147"/>
      <c r="Q2274" s="149"/>
    </row>
    <row r="2275" spans="1:24" ht="30" customHeight="1">
      <c r="A2275" s="24" t="s">
        <v>342</v>
      </c>
      <c r="B2275" s="1162" t="s">
        <v>1355</v>
      </c>
      <c r="C2275" s="1163"/>
      <c r="D2275" s="1164"/>
      <c r="E2275" s="142">
        <v>2.12</v>
      </c>
      <c r="F2275" s="10" t="s">
        <v>8</v>
      </c>
      <c r="G2275" s="494">
        <v>9</v>
      </c>
      <c r="H2275" s="10" t="s">
        <v>1354</v>
      </c>
      <c r="I2275" s="415">
        <v>1.05</v>
      </c>
      <c r="J2275" s="10"/>
      <c r="K2275" s="115">
        <f>+E2275*I2275*G2275</f>
        <v>20.034000000000002</v>
      </c>
      <c r="L2275" s="10" t="s">
        <v>3</v>
      </c>
      <c r="M2275" s="1146"/>
      <c r="O2275" s="159"/>
      <c r="P2275" s="147"/>
      <c r="Q2275" s="149"/>
    </row>
    <row r="2276" spans="1:24" ht="30" customHeight="1">
      <c r="A2276" s="24" t="s">
        <v>342</v>
      </c>
      <c r="B2276" s="1182" t="s">
        <v>1356</v>
      </c>
      <c r="C2276" s="1183"/>
      <c r="D2276" s="1183"/>
      <c r="E2276" s="115">
        <v>3.75</v>
      </c>
      <c r="F2276" s="401" t="s">
        <v>8</v>
      </c>
      <c r="G2276" s="494">
        <v>9</v>
      </c>
      <c r="H2276" s="10" t="s">
        <v>1354</v>
      </c>
      <c r="I2276" s="415">
        <v>1.05</v>
      </c>
      <c r="J2276" s="10"/>
      <c r="K2276" s="115">
        <f>+E2276*I2276*G2276</f>
        <v>35.4375</v>
      </c>
      <c r="L2276" s="10" t="s">
        <v>3</v>
      </c>
      <c r="M2276" s="1146"/>
      <c r="O2276" s="159"/>
      <c r="P2276" s="147"/>
      <c r="Q2276" s="149"/>
    </row>
    <row r="2277" spans="1:24" ht="30" customHeight="1">
      <c r="A2277" s="24"/>
      <c r="B2277" s="1162"/>
      <c r="C2277" s="1163"/>
      <c r="D2277" s="1164"/>
      <c r="E2277" s="115"/>
      <c r="F2277" s="10"/>
      <c r="G2277" s="13"/>
      <c r="H2277" s="1168" t="s">
        <v>1419</v>
      </c>
      <c r="I2277" s="1169"/>
      <c r="J2277" s="1170"/>
      <c r="K2277" s="168">
        <f>AVERAGE(K2275:K2276)</f>
        <v>27.735750000000003</v>
      </c>
      <c r="L2277" s="10" t="s">
        <v>3</v>
      </c>
      <c r="M2277" s="1146"/>
      <c r="O2277" s="159"/>
      <c r="P2277" s="147"/>
      <c r="Q2277" s="149"/>
    </row>
    <row r="2278" spans="1:24" ht="30" customHeight="1">
      <c r="A2278" s="24"/>
      <c r="B2278" s="1593"/>
      <c r="C2278" s="1594"/>
      <c r="D2278" s="1595"/>
      <c r="E2278" s="115"/>
      <c r="F2278" s="401"/>
      <c r="G2278" s="494"/>
      <c r="H2278" s="10"/>
      <c r="I2278" s="10"/>
      <c r="J2278" s="10" t="s">
        <v>346</v>
      </c>
      <c r="K2278" s="115">
        <f>+K2277+K2274</f>
        <v>34.445250000000001</v>
      </c>
      <c r="L2278" s="10" t="s">
        <v>3</v>
      </c>
      <c r="M2278" s="1146"/>
      <c r="O2278" s="159"/>
      <c r="P2278" s="147"/>
      <c r="Q2278" s="149"/>
    </row>
    <row r="2279" spans="1:24" ht="30" customHeight="1">
      <c r="A2279" s="45"/>
      <c r="B2279" s="157"/>
      <c r="C2279" s="157"/>
      <c r="D2279" s="157"/>
      <c r="E2279" s="153"/>
      <c r="F2279" s="1174" t="s">
        <v>308</v>
      </c>
      <c r="G2279" s="1208" t="s">
        <v>309</v>
      </c>
      <c r="H2279" s="1208"/>
      <c r="I2279" s="1208"/>
      <c r="J2279" s="1208"/>
      <c r="K2279" s="326">
        <v>1.06</v>
      </c>
      <c r="L2279" s="10"/>
      <c r="M2279" s="1146"/>
      <c r="O2279" s="159"/>
      <c r="P2279" s="147"/>
      <c r="Q2279" s="149"/>
    </row>
    <row r="2280" spans="1:24" ht="30" customHeight="1">
      <c r="A2280" s="45"/>
      <c r="B2280" s="157"/>
      <c r="C2280" s="157"/>
      <c r="D2280" s="157"/>
      <c r="E2280" s="153"/>
      <c r="F2280" s="1175"/>
      <c r="G2280" s="1209" t="s">
        <v>310</v>
      </c>
      <c r="H2280" s="1209"/>
      <c r="I2280" s="1209"/>
      <c r="J2280" s="1209"/>
      <c r="K2280" s="123">
        <v>1.07</v>
      </c>
      <c r="L2280" s="10"/>
      <c r="M2280" s="1146"/>
      <c r="O2280" s="159"/>
      <c r="P2280" s="147"/>
      <c r="Q2280" s="149"/>
    </row>
    <row r="2281" spans="1:24" ht="30" customHeight="1">
      <c r="A2281" s="24"/>
      <c r="B2281" s="1162"/>
      <c r="C2281" s="1163"/>
      <c r="D2281" s="1164"/>
      <c r="E2281" s="115"/>
      <c r="F2281" s="401"/>
      <c r="G2281" s="402"/>
      <c r="H2281" s="403"/>
      <c r="I2281" s="1288" t="s">
        <v>289</v>
      </c>
      <c r="J2281" s="1289"/>
      <c r="K2281" s="14">
        <f>+K2278*K2279/K2280</f>
        <v>34.123331775700933</v>
      </c>
      <c r="L2281" s="10" t="s">
        <v>3</v>
      </c>
      <c r="M2281" s="1146"/>
      <c r="O2281" s="159"/>
      <c r="P2281" s="147"/>
      <c r="Q2281" s="149"/>
      <c r="T2281" s="25"/>
      <c r="U2281" s="25"/>
      <c r="V2281" s="25"/>
      <c r="W2281" s="25"/>
      <c r="X2281" s="25"/>
    </row>
    <row r="2282" spans="1:24" s="25" customFormat="1" ht="30" customHeight="1" thickBot="1">
      <c r="A2282" s="24"/>
      <c r="B2282" s="601"/>
      <c r="C2282" s="602"/>
      <c r="D2282" s="439"/>
      <c r="E2282" s="115"/>
      <c r="F2282" s="401"/>
      <c r="G2282" s="226"/>
      <c r="H2282" s="403"/>
      <c r="I2282" s="603" t="s">
        <v>385</v>
      </c>
      <c r="J2282" s="139">
        <f>VLOOKUP(B2272,'Mil Cost Premiums for RUCs'!$A$4:$R$266,18,FALSE)</f>
        <v>1.0905505199999999</v>
      </c>
      <c r="K2282" s="14">
        <f>+K2281*J2282</f>
        <v>37.213217212123169</v>
      </c>
      <c r="L2282" s="10" t="s">
        <v>3</v>
      </c>
      <c r="M2282" s="1146"/>
      <c r="O2282" s="229"/>
      <c r="P2282" s="1103"/>
      <c r="Q2282" s="230"/>
      <c r="T2282"/>
      <c r="U2282"/>
      <c r="V2282"/>
      <c r="W2282"/>
      <c r="X2282"/>
    </row>
    <row r="2283" spans="1:24" ht="30" customHeight="1" thickBot="1">
      <c r="A2283" s="1165"/>
      <c r="B2283" s="1166"/>
      <c r="C2283" s="1166"/>
      <c r="D2283" s="1166"/>
      <c r="E2283" s="1166"/>
      <c r="F2283" s="1166"/>
      <c r="G2283" s="1166"/>
      <c r="H2283" s="1166"/>
      <c r="I2283" s="1166"/>
      <c r="J2283" s="1166"/>
      <c r="K2283" s="1166"/>
      <c r="L2283" s="1167"/>
      <c r="M2283" s="1146"/>
      <c r="O2283" s="159"/>
      <c r="P2283" s="147"/>
      <c r="Q2283" s="149"/>
    </row>
    <row r="2284" spans="1:24" ht="30" customHeight="1">
      <c r="A2284" s="81" t="s">
        <v>280</v>
      </c>
      <c r="B2284" s="82">
        <v>5100</v>
      </c>
      <c r="C2284" s="1228" t="s">
        <v>1421</v>
      </c>
      <c r="D2284" s="1229"/>
      <c r="E2284" s="74" t="s">
        <v>282</v>
      </c>
      <c r="F2284" s="75" t="s">
        <v>8</v>
      </c>
      <c r="G2284" s="58" t="s">
        <v>290</v>
      </c>
      <c r="H2284" s="104">
        <v>181359</v>
      </c>
      <c r="I2284" s="74" t="s">
        <v>283</v>
      </c>
      <c r="J2284" s="1199" t="s">
        <v>1002</v>
      </c>
      <c r="K2284" s="1230"/>
      <c r="L2284" s="1231"/>
      <c r="M2284" s="1146"/>
      <c r="O2284" s="159"/>
      <c r="P2284" s="147"/>
      <c r="Q2284" s="149"/>
    </row>
    <row r="2285" spans="1:24" ht="30" customHeight="1">
      <c r="A2285" s="77" t="s">
        <v>293</v>
      </c>
      <c r="B2285" s="1232" t="s">
        <v>284</v>
      </c>
      <c r="C2285" s="1232"/>
      <c r="D2285" s="1232"/>
      <c r="E2285" s="77" t="s">
        <v>294</v>
      </c>
      <c r="F2285" s="96" t="s">
        <v>295</v>
      </c>
      <c r="G2285" s="1365" t="s">
        <v>2</v>
      </c>
      <c r="H2285" s="1366"/>
      <c r="I2285" s="1233" t="s">
        <v>296</v>
      </c>
      <c r="J2285" s="1234"/>
      <c r="K2285" s="1206" t="s">
        <v>297</v>
      </c>
      <c r="L2285" s="1207"/>
      <c r="M2285" s="1146"/>
      <c r="O2285" s="159"/>
      <c r="P2285" s="147"/>
      <c r="Q2285" s="149"/>
    </row>
    <row r="2286" spans="1:24" ht="30" customHeight="1">
      <c r="A2286" s="20">
        <v>51010</v>
      </c>
      <c r="B2286" s="1179" t="s">
        <v>1422</v>
      </c>
      <c r="C2286" s="1180"/>
      <c r="D2286" s="1181"/>
      <c r="E2286" s="316" t="s">
        <v>2589</v>
      </c>
      <c r="F2286" s="153">
        <v>458.11</v>
      </c>
      <c r="G2286" s="206" t="s">
        <v>8</v>
      </c>
      <c r="H2286" s="206"/>
      <c r="I2286" s="1349">
        <f>+'2019 MILCON Inflation Table'!F10</f>
        <v>1.2327470846874402</v>
      </c>
      <c r="J2286" s="1350"/>
      <c r="K2286" s="242">
        <f>+F2286*I2286</f>
        <v>564.73376696616322</v>
      </c>
      <c r="L2286" s="97" t="s">
        <v>8</v>
      </c>
      <c r="M2286" s="1146"/>
      <c r="O2286" s="159"/>
      <c r="P2286" s="147"/>
      <c r="Q2286" s="149"/>
    </row>
    <row r="2287" spans="1:24" ht="30" customHeight="1" thickBot="1">
      <c r="A2287" s="20"/>
      <c r="B2287" s="1179"/>
      <c r="C2287" s="1180"/>
      <c r="D2287" s="1181"/>
      <c r="E2287" s="181"/>
      <c r="F2287" s="338"/>
      <c r="G2287" s="181"/>
      <c r="H2287" s="339"/>
      <c r="I2287" s="18"/>
      <c r="J2287" s="79" t="s">
        <v>289</v>
      </c>
      <c r="K2287" s="107">
        <f>AVERAGE(K2286:K2286)</f>
        <v>564.73376696616322</v>
      </c>
      <c r="L2287" s="97" t="s">
        <v>8</v>
      </c>
      <c r="M2287" s="1146"/>
      <c r="N2287" s="282"/>
      <c r="O2287" s="34"/>
      <c r="P2287" s="283"/>
      <c r="Q2287" s="282"/>
      <c r="R2287" s="284"/>
    </row>
    <row r="2288" spans="1:24" ht="30" customHeight="1" thickBot="1">
      <c r="A2288" s="1165"/>
      <c r="B2288" s="1166"/>
      <c r="C2288" s="1166"/>
      <c r="D2288" s="1166"/>
      <c r="E2288" s="1166"/>
      <c r="F2288" s="1166"/>
      <c r="G2288" s="1166"/>
      <c r="H2288" s="1166"/>
      <c r="I2288" s="1166"/>
      <c r="J2288" s="1166"/>
      <c r="K2288" s="1166"/>
      <c r="L2288" s="1167"/>
      <c r="M2288" s="1146"/>
      <c r="O2288" s="159"/>
      <c r="P2288" s="147"/>
      <c r="Q2288" s="149"/>
    </row>
    <row r="2289" spans="1:24" ht="30" customHeight="1">
      <c r="A2289" s="108" t="s">
        <v>280</v>
      </c>
      <c r="B2289" s="109">
        <v>5302</v>
      </c>
      <c r="C2289" s="1574" t="s">
        <v>1423</v>
      </c>
      <c r="D2289" s="1575"/>
      <c r="E2289" s="110" t="s">
        <v>282</v>
      </c>
      <c r="F2289" s="111" t="s">
        <v>8</v>
      </c>
      <c r="G2289" s="58" t="s">
        <v>290</v>
      </c>
      <c r="H2289" s="218">
        <v>11372</v>
      </c>
      <c r="I2289" s="110" t="s">
        <v>283</v>
      </c>
      <c r="J2289" s="1199" t="s">
        <v>2529</v>
      </c>
      <c r="K2289" s="1199"/>
      <c r="L2289" s="1200"/>
      <c r="M2289" s="1146"/>
      <c r="O2289" s="159"/>
      <c r="P2289" s="147"/>
      <c r="Q2289" s="149"/>
    </row>
    <row r="2290" spans="1:24" ht="30" customHeight="1">
      <c r="A2290" s="165" t="s">
        <v>304</v>
      </c>
      <c r="B2290" s="1324" t="s">
        <v>330</v>
      </c>
      <c r="C2290" s="1325"/>
      <c r="D2290" s="1326"/>
      <c r="E2290" s="219" t="s">
        <v>295</v>
      </c>
      <c r="F2290" s="219" t="s">
        <v>331</v>
      </c>
      <c r="G2290" s="1327" t="s">
        <v>332</v>
      </c>
      <c r="H2290" s="1328"/>
      <c r="I2290" s="167" t="s">
        <v>305</v>
      </c>
      <c r="J2290" s="167"/>
      <c r="K2290" s="1206" t="s">
        <v>297</v>
      </c>
      <c r="L2290" s="1207"/>
      <c r="M2290" s="1146"/>
      <c r="N2290" s="1103"/>
      <c r="O2290"/>
      <c r="P2290" s="159"/>
      <c r="Q2290" s="147"/>
      <c r="R2290" s="149"/>
    </row>
    <row r="2291" spans="1:24" ht="30" customHeight="1">
      <c r="A2291" s="10" t="s">
        <v>382</v>
      </c>
      <c r="B2291" s="1162" t="s">
        <v>1424</v>
      </c>
      <c r="C2291" s="1163"/>
      <c r="D2291" s="1164"/>
      <c r="E2291" s="628">
        <v>222.42</v>
      </c>
      <c r="F2291" s="10" t="s">
        <v>8</v>
      </c>
      <c r="G2291" s="494"/>
      <c r="H2291" s="10"/>
      <c r="I2291" s="10">
        <v>1.05</v>
      </c>
      <c r="J2291" s="10"/>
      <c r="K2291" s="115">
        <f>+E2291*I2291</f>
        <v>233.541</v>
      </c>
      <c r="L2291" s="10" t="s">
        <v>8</v>
      </c>
      <c r="M2291" s="1146"/>
      <c r="N2291" s="1103"/>
      <c r="O2291"/>
      <c r="P2291" s="159"/>
      <c r="Q2291" s="147"/>
      <c r="R2291" s="149"/>
    </row>
    <row r="2292" spans="1:24" ht="30" customHeight="1">
      <c r="A2292" s="10" t="s">
        <v>377</v>
      </c>
      <c r="B2292" s="1182" t="s">
        <v>1187</v>
      </c>
      <c r="C2292" s="1183"/>
      <c r="D2292" s="1183"/>
      <c r="E2292" s="115">
        <v>4.01</v>
      </c>
      <c r="F2292" s="10" t="s">
        <v>8</v>
      </c>
      <c r="G2292" s="402"/>
      <c r="H2292" s="403"/>
      <c r="I2292" s="10">
        <v>1.05</v>
      </c>
      <c r="J2292" s="10"/>
      <c r="K2292" s="115">
        <f>+E2292*I2292</f>
        <v>4.2104999999999997</v>
      </c>
      <c r="L2292" s="10" t="s">
        <v>8</v>
      </c>
      <c r="M2292" s="1146"/>
      <c r="N2292" s="1103"/>
      <c r="O2292"/>
      <c r="P2292" s="159"/>
      <c r="Q2292" s="147"/>
      <c r="R2292" s="149"/>
    </row>
    <row r="2293" spans="1:24" ht="30" customHeight="1">
      <c r="A2293" s="10" t="s">
        <v>395</v>
      </c>
      <c r="B2293" s="1162" t="s">
        <v>1425</v>
      </c>
      <c r="C2293" s="1163"/>
      <c r="D2293" s="1164"/>
      <c r="E2293" s="115">
        <f>(19.15+29.75)/2</f>
        <v>24.45</v>
      </c>
      <c r="F2293" s="10" t="s">
        <v>8</v>
      </c>
      <c r="G2293" s="168">
        <f>81*E2293/H2289</f>
        <v>0.17415142455153007</v>
      </c>
      <c r="H2293" s="403" t="s">
        <v>1016</v>
      </c>
      <c r="I2293" s="10">
        <v>1.06</v>
      </c>
      <c r="J2293" s="10"/>
      <c r="K2293" s="115">
        <f>+G2293*I2293</f>
        <v>0.18460051002462188</v>
      </c>
      <c r="L2293" s="10" t="s">
        <v>8</v>
      </c>
      <c r="M2293" s="1146"/>
      <c r="N2293" s="1103"/>
      <c r="O2293"/>
      <c r="P2293" s="159"/>
      <c r="Q2293" s="147"/>
      <c r="R2293" s="149"/>
    </row>
    <row r="2294" spans="1:24" ht="30" customHeight="1">
      <c r="A2294" s="10" t="s">
        <v>395</v>
      </c>
      <c r="B2294" s="1162" t="s">
        <v>1223</v>
      </c>
      <c r="C2294" s="1163"/>
      <c r="D2294" s="1164"/>
      <c r="E2294" s="115">
        <f>(1610+2280)/2</f>
        <v>1945</v>
      </c>
      <c r="F2294" s="10" t="s">
        <v>10</v>
      </c>
      <c r="G2294" s="14">
        <f>+E2294/H2289</f>
        <v>0.17103411888849807</v>
      </c>
      <c r="H2294" s="403" t="s">
        <v>1016</v>
      </c>
      <c r="I2294" s="10">
        <v>1.06</v>
      </c>
      <c r="J2294" s="10"/>
      <c r="K2294" s="115">
        <f t="shared" ref="K2294:K2298" si="52">+G2294*I2294</f>
        <v>0.18129616602180795</v>
      </c>
      <c r="L2294" s="10" t="s">
        <v>8</v>
      </c>
      <c r="M2294" s="1146"/>
      <c r="N2294" s="1103"/>
      <c r="O2294"/>
      <c r="P2294" s="159"/>
      <c r="Q2294" s="147"/>
      <c r="R2294" s="149"/>
    </row>
    <row r="2295" spans="1:24" ht="30" customHeight="1">
      <c r="A2295" s="10" t="s">
        <v>398</v>
      </c>
      <c r="B2295" s="1182" t="s">
        <v>1380</v>
      </c>
      <c r="C2295" s="1183"/>
      <c r="D2295" s="1184"/>
      <c r="E2295" s="115">
        <f>+(31.5+75)/2</f>
        <v>53.25</v>
      </c>
      <c r="F2295" s="10" t="s">
        <v>6</v>
      </c>
      <c r="G2295" s="14">
        <f>10*E2295/H2289</f>
        <v>4.6825536405205766E-2</v>
      </c>
      <c r="H2295" s="403" t="s">
        <v>1016</v>
      </c>
      <c r="I2295" s="10">
        <v>1.04</v>
      </c>
      <c r="J2295" s="10"/>
      <c r="K2295" s="115">
        <f t="shared" si="52"/>
        <v>4.8698557861413999E-2</v>
      </c>
      <c r="L2295" s="10" t="s">
        <v>8</v>
      </c>
      <c r="M2295" s="1146"/>
      <c r="N2295" s="1103"/>
      <c r="O2295"/>
      <c r="P2295" s="159"/>
      <c r="Q2295" s="147"/>
      <c r="R2295" s="149"/>
    </row>
    <row r="2296" spans="1:24" ht="30" customHeight="1">
      <c r="A2296" s="10" t="s">
        <v>398</v>
      </c>
      <c r="B2296" s="119" t="s">
        <v>401</v>
      </c>
      <c r="C2296" s="120"/>
      <c r="D2296" s="121"/>
      <c r="E2296" s="115">
        <f>+(5900+11300)/2</f>
        <v>8600</v>
      </c>
      <c r="F2296" s="10" t="s">
        <v>10</v>
      </c>
      <c r="G2296" s="14">
        <f>+E2296/H2289</f>
        <v>0.75624340485402741</v>
      </c>
      <c r="H2296" s="403" t="s">
        <v>1016</v>
      </c>
      <c r="I2296" s="10">
        <v>1.04</v>
      </c>
      <c r="J2296" s="10"/>
      <c r="K2296" s="115">
        <f t="shared" si="52"/>
        <v>0.78649314104818857</v>
      </c>
      <c r="L2296" s="10" t="s">
        <v>8</v>
      </c>
      <c r="M2296" s="1146"/>
      <c r="N2296" s="1103"/>
      <c r="O2296"/>
      <c r="P2296" s="159"/>
      <c r="Q2296" s="147"/>
      <c r="R2296" s="149"/>
    </row>
    <row r="2297" spans="1:24" ht="30" customHeight="1">
      <c r="A2297" s="10" t="s">
        <v>398</v>
      </c>
      <c r="B2297" s="1182" t="s">
        <v>1398</v>
      </c>
      <c r="C2297" s="1183"/>
      <c r="D2297" s="1184"/>
      <c r="E2297" s="115">
        <f>+(605+925)/2</f>
        <v>765</v>
      </c>
      <c r="F2297" s="10" t="s">
        <v>10</v>
      </c>
      <c r="G2297" s="14">
        <f>+E2297/H2289</f>
        <v>6.7270488920154761E-2</v>
      </c>
      <c r="H2297" s="403" t="s">
        <v>1016</v>
      </c>
      <c r="I2297" s="10">
        <v>1.04</v>
      </c>
      <c r="J2297" s="10"/>
      <c r="K2297" s="115">
        <f t="shared" si="52"/>
        <v>6.9961308476960957E-2</v>
      </c>
      <c r="L2297" s="10" t="s">
        <v>8</v>
      </c>
      <c r="M2297" s="1146"/>
      <c r="N2297" s="1103"/>
      <c r="O2297"/>
      <c r="P2297" s="159"/>
      <c r="Q2297" s="147"/>
      <c r="R2297" s="149"/>
    </row>
    <row r="2298" spans="1:24" ht="30" customHeight="1">
      <c r="A2298" s="10" t="s">
        <v>398</v>
      </c>
      <c r="B2298" s="1182" t="s">
        <v>403</v>
      </c>
      <c r="C2298" s="1183"/>
      <c r="D2298" s="1184"/>
      <c r="E2298" s="115">
        <f>+(1060+3175)/2</f>
        <v>2117.5</v>
      </c>
      <c r="F2298" s="10" t="s">
        <v>10</v>
      </c>
      <c r="G2298" s="14">
        <f>+E2298/H2289</f>
        <v>0.18620295462539571</v>
      </c>
      <c r="H2298" s="403" t="s">
        <v>1016</v>
      </c>
      <c r="I2298" s="10">
        <v>1.04</v>
      </c>
      <c r="J2298" s="10"/>
      <c r="K2298" s="115">
        <f t="shared" si="52"/>
        <v>0.19365107281041155</v>
      </c>
      <c r="L2298" s="10" t="s">
        <v>8</v>
      </c>
      <c r="M2298" s="1146"/>
      <c r="N2298" s="1103"/>
      <c r="O2298"/>
      <c r="P2298" s="159"/>
      <c r="Q2298" s="147"/>
      <c r="R2298" s="149"/>
    </row>
    <row r="2299" spans="1:24" ht="30" customHeight="1">
      <c r="A2299" s="10"/>
      <c r="B2299" s="1375"/>
      <c r="C2299" s="1375"/>
      <c r="D2299" s="1375"/>
      <c r="E2299" s="115"/>
      <c r="F2299" s="10"/>
      <c r="G2299" s="402"/>
      <c r="H2299" s="403"/>
      <c r="I2299" s="10"/>
      <c r="J2299" s="10" t="s">
        <v>346</v>
      </c>
      <c r="K2299" s="115">
        <f>SUM(K2291:K2298)</f>
        <v>239.21620075624341</v>
      </c>
      <c r="L2299" s="10" t="s">
        <v>8</v>
      </c>
      <c r="M2299" s="1146"/>
      <c r="N2299" s="1103"/>
      <c r="O2299"/>
      <c r="P2299" s="159"/>
      <c r="Q2299" s="147"/>
      <c r="R2299" s="149"/>
    </row>
    <row r="2300" spans="1:24" ht="30" customHeight="1">
      <c r="A2300" s="20"/>
      <c r="B2300" s="157"/>
      <c r="C2300" s="157"/>
      <c r="D2300" s="157"/>
      <c r="E2300" s="153"/>
      <c r="F2300" s="1174" t="s">
        <v>308</v>
      </c>
      <c r="G2300" s="1208" t="s">
        <v>309</v>
      </c>
      <c r="H2300" s="1208"/>
      <c r="I2300" s="1208"/>
      <c r="J2300" s="1208"/>
      <c r="K2300" s="415">
        <v>1.08</v>
      </c>
      <c r="L2300" s="10"/>
      <c r="M2300" s="1146"/>
      <c r="N2300" s="282"/>
      <c r="O2300"/>
      <c r="P2300" s="159"/>
      <c r="Q2300" s="147"/>
      <c r="R2300" s="149"/>
    </row>
    <row r="2301" spans="1:24" ht="30" customHeight="1">
      <c r="A2301" s="20"/>
      <c r="B2301" s="157"/>
      <c r="C2301" s="157"/>
      <c r="D2301" s="157"/>
      <c r="E2301" s="153"/>
      <c r="F2301" s="1175"/>
      <c r="G2301" s="1209" t="s">
        <v>310</v>
      </c>
      <c r="H2301" s="1209"/>
      <c r="I2301" s="1209"/>
      <c r="J2301" s="1209"/>
      <c r="K2301" s="123">
        <v>1.07</v>
      </c>
      <c r="L2301" s="10"/>
      <c r="M2301" s="1146"/>
      <c r="O2301" s="159"/>
      <c r="P2301" s="147"/>
      <c r="Q2301" s="149"/>
      <c r="T2301" s="38"/>
      <c r="U2301" s="38"/>
      <c r="V2301" s="38"/>
      <c r="W2301" s="38"/>
      <c r="X2301" s="38"/>
    </row>
    <row r="2302" spans="1:24" s="38" customFormat="1" ht="30" customHeight="1">
      <c r="A2302" s="10"/>
      <c r="B2302" s="10"/>
      <c r="C2302" s="13"/>
      <c r="D2302" s="13"/>
      <c r="E2302" s="13"/>
      <c r="F2302" s="13"/>
      <c r="G2302" s="13"/>
      <c r="H2302" s="13"/>
      <c r="I2302" s="13"/>
      <c r="J2302" s="10" t="s">
        <v>289</v>
      </c>
      <c r="K2302" s="14">
        <f>+K2299*K2300/K2301</f>
        <v>241.45186618387186</v>
      </c>
      <c r="L2302" s="10" t="s">
        <v>8</v>
      </c>
      <c r="M2302" s="1146"/>
      <c r="N2302" s="193"/>
      <c r="O2302" s="159"/>
      <c r="P2302" s="147"/>
      <c r="Q2302" s="149"/>
      <c r="T2302"/>
      <c r="U2302"/>
      <c r="V2302"/>
      <c r="W2302"/>
      <c r="X2302"/>
    </row>
    <row r="2303" spans="1:24" ht="30" customHeight="1">
      <c r="A2303" s="10"/>
      <c r="B2303" s="10"/>
      <c r="C2303" s="13"/>
      <c r="D2303" s="13"/>
      <c r="E2303" s="13"/>
      <c r="F2303" s="13"/>
      <c r="G2303" s="13"/>
      <c r="H2303" s="226"/>
      <c r="I2303" s="461" t="s">
        <v>385</v>
      </c>
      <c r="J2303" s="139">
        <f>VLOOKUP(B2289,'Mil Cost Premiums for RUCs'!$A$4:$R$266,18,FALSE)</f>
        <v>1.3319480854780448</v>
      </c>
      <c r="K2303" s="14">
        <f>+K2302*J2303</f>
        <v>321.6013508987092</v>
      </c>
      <c r="L2303" s="10" t="s">
        <v>8</v>
      </c>
      <c r="M2303" s="1146"/>
      <c r="O2303" s="159"/>
      <c r="P2303" s="147"/>
      <c r="Q2303" s="149"/>
    </row>
    <row r="2304" spans="1:24" ht="60" customHeight="1">
      <c r="A2304" s="1336" t="s">
        <v>313</v>
      </c>
      <c r="B2304" s="1315"/>
      <c r="C2304" s="1315"/>
      <c r="D2304" s="1315"/>
      <c r="E2304" s="1315"/>
      <c r="F2304" s="1315"/>
      <c r="G2304" s="1315"/>
      <c r="H2304" s="1315"/>
      <c r="I2304" s="1315"/>
      <c r="J2304" s="1315"/>
      <c r="K2304" s="1315"/>
      <c r="L2304" s="1316"/>
      <c r="M2304" s="1146"/>
      <c r="O2304" s="159"/>
      <c r="P2304" s="147"/>
      <c r="Q2304" s="149"/>
    </row>
    <row r="2305" spans="1:18" ht="30" customHeight="1">
      <c r="A2305" s="1362" t="s">
        <v>314</v>
      </c>
      <c r="B2305" s="1363"/>
      <c r="C2305" s="1364"/>
      <c r="D2305" s="1270" t="s">
        <v>1426</v>
      </c>
      <c r="E2305" s="1371"/>
      <c r="F2305" s="1371"/>
      <c r="G2305" s="1371"/>
      <c r="H2305" s="1371"/>
      <c r="I2305" s="1371"/>
      <c r="J2305" s="1371"/>
      <c r="K2305" s="1371"/>
      <c r="L2305" s="1372"/>
      <c r="M2305" s="1146"/>
      <c r="O2305" s="159"/>
      <c r="P2305" s="147"/>
      <c r="Q2305" s="149"/>
    </row>
    <row r="2306" spans="1:18" ht="34.5" customHeight="1">
      <c r="A2306" s="1362" t="s">
        <v>316</v>
      </c>
      <c r="B2306" s="1363"/>
      <c r="C2306" s="1364"/>
      <c r="D2306" s="1270" t="s">
        <v>1427</v>
      </c>
      <c r="E2306" s="1371"/>
      <c r="F2306" s="1371"/>
      <c r="G2306" s="1371"/>
      <c r="H2306" s="1371"/>
      <c r="I2306" s="1371"/>
      <c r="J2306" s="1371"/>
      <c r="K2306" s="1371"/>
      <c r="L2306" s="1372"/>
      <c r="M2306" s="1146"/>
      <c r="O2306" s="159"/>
      <c r="P2306" s="147"/>
      <c r="Q2306" s="149"/>
    </row>
    <row r="2307" spans="1:18" ht="30" customHeight="1">
      <c r="A2307" s="1362" t="s">
        <v>317</v>
      </c>
      <c r="B2307" s="1363"/>
      <c r="C2307" s="1364"/>
      <c r="D2307" s="1270" t="s">
        <v>1428</v>
      </c>
      <c r="E2307" s="1371"/>
      <c r="F2307" s="1371"/>
      <c r="G2307" s="1371"/>
      <c r="H2307" s="1371"/>
      <c r="I2307" s="1371"/>
      <c r="J2307" s="1371"/>
      <c r="K2307" s="1371"/>
      <c r="L2307" s="1372"/>
      <c r="M2307" s="1146"/>
      <c r="O2307" s="159"/>
      <c r="P2307" s="147"/>
      <c r="Q2307" s="149"/>
    </row>
    <row r="2308" spans="1:18" ht="45" customHeight="1">
      <c r="A2308" s="1406" t="s">
        <v>318</v>
      </c>
      <c r="B2308" s="1407"/>
      <c r="C2308" s="1408"/>
      <c r="D2308" s="1270" t="s">
        <v>1202</v>
      </c>
      <c r="E2308" s="1371"/>
      <c r="F2308" s="1371"/>
      <c r="G2308" s="1371"/>
      <c r="H2308" s="1371"/>
      <c r="I2308" s="1371"/>
      <c r="J2308" s="1371"/>
      <c r="K2308" s="1371"/>
      <c r="L2308" s="1372"/>
      <c r="M2308" s="1146"/>
      <c r="O2308" s="159"/>
      <c r="P2308" s="147"/>
      <c r="Q2308" s="149"/>
    </row>
    <row r="2309" spans="1:18" ht="45" customHeight="1">
      <c r="A2309" s="1406" t="s">
        <v>320</v>
      </c>
      <c r="B2309" s="1407"/>
      <c r="C2309" s="1408"/>
      <c r="D2309" s="1270" t="s">
        <v>1429</v>
      </c>
      <c r="E2309" s="1371"/>
      <c r="F2309" s="1371"/>
      <c r="G2309" s="1371"/>
      <c r="H2309" s="1371"/>
      <c r="I2309" s="1371"/>
      <c r="J2309" s="1371"/>
      <c r="K2309" s="1371"/>
      <c r="L2309" s="1372"/>
      <c r="M2309" s="1146"/>
      <c r="O2309" s="159"/>
      <c r="P2309" s="147"/>
      <c r="Q2309" s="149"/>
    </row>
    <row r="2310" spans="1:18" ht="30" customHeight="1">
      <c r="A2310" s="1406" t="s">
        <v>322</v>
      </c>
      <c r="B2310" s="1407"/>
      <c r="C2310" s="1408"/>
      <c r="D2310" s="1270" t="s">
        <v>1430</v>
      </c>
      <c r="E2310" s="1371"/>
      <c r="F2310" s="1371"/>
      <c r="G2310" s="1371"/>
      <c r="H2310" s="1371"/>
      <c r="I2310" s="1371"/>
      <c r="J2310" s="1371"/>
      <c r="K2310" s="1371"/>
      <c r="L2310" s="1372"/>
      <c r="M2310" s="1146"/>
      <c r="O2310" s="159"/>
      <c r="P2310" s="147"/>
      <c r="Q2310" s="149"/>
    </row>
    <row r="2311" spans="1:18" ht="30" customHeight="1">
      <c r="A2311" s="1406" t="s">
        <v>324</v>
      </c>
      <c r="B2311" s="1407"/>
      <c r="C2311" s="1408"/>
      <c r="D2311" s="1270" t="s">
        <v>1204</v>
      </c>
      <c r="E2311" s="1371"/>
      <c r="F2311" s="1371"/>
      <c r="G2311" s="1371"/>
      <c r="H2311" s="1371"/>
      <c r="I2311" s="1371"/>
      <c r="J2311" s="1371"/>
      <c r="K2311" s="1371"/>
      <c r="L2311" s="1372"/>
      <c r="M2311" s="1146"/>
      <c r="O2311" s="159"/>
      <c r="P2311" s="147"/>
      <c r="Q2311" s="149"/>
    </row>
    <row r="2312" spans="1:18" ht="75" customHeight="1">
      <c r="A2312" s="1406" t="s">
        <v>325</v>
      </c>
      <c r="B2312" s="1407"/>
      <c r="C2312" s="1408"/>
      <c r="D2312" s="1270" t="s">
        <v>391</v>
      </c>
      <c r="E2312" s="1371"/>
      <c r="F2312" s="1371"/>
      <c r="G2312" s="1371"/>
      <c r="H2312" s="1371"/>
      <c r="I2312" s="1371"/>
      <c r="J2312" s="1371"/>
      <c r="K2312" s="1371"/>
      <c r="L2312" s="1372"/>
      <c r="M2312" s="1146"/>
      <c r="O2312" s="159"/>
      <c r="P2312" s="147"/>
      <c r="Q2312" s="149"/>
    </row>
    <row r="2313" spans="1:18" ht="45" customHeight="1" thickBot="1">
      <c r="A2313" s="1362" t="s">
        <v>327</v>
      </c>
      <c r="B2313" s="1363"/>
      <c r="C2313" s="1364"/>
      <c r="D2313" s="1270" t="s">
        <v>1431</v>
      </c>
      <c r="E2313" s="1371"/>
      <c r="F2313" s="1371"/>
      <c r="G2313" s="1371"/>
      <c r="H2313" s="1371"/>
      <c r="I2313" s="1371"/>
      <c r="J2313" s="1371"/>
      <c r="K2313" s="1371"/>
      <c r="L2313" s="1372"/>
      <c r="M2313" s="1146"/>
      <c r="O2313" s="159"/>
      <c r="P2313" s="147"/>
      <c r="Q2313" s="149"/>
    </row>
    <row r="2314" spans="1:18" ht="30" customHeight="1" thickBot="1">
      <c r="A2314" s="1165"/>
      <c r="B2314" s="1166"/>
      <c r="C2314" s="1166"/>
      <c r="D2314" s="1166"/>
      <c r="E2314" s="1166"/>
      <c r="F2314" s="1166"/>
      <c r="G2314" s="1166"/>
      <c r="H2314" s="1166"/>
      <c r="I2314" s="1166"/>
      <c r="J2314" s="1166"/>
      <c r="K2314" s="1166"/>
      <c r="L2314" s="1167"/>
      <c r="M2314" s="1146"/>
      <c r="O2314" s="159"/>
      <c r="P2314" s="147"/>
      <c r="Q2314" s="149"/>
    </row>
    <row r="2315" spans="1:18" ht="30" customHeight="1">
      <c r="A2315" s="27" t="s">
        <v>280</v>
      </c>
      <c r="B2315" s="82">
        <v>5303</v>
      </c>
      <c r="C2315" s="1197" t="s">
        <v>1432</v>
      </c>
      <c r="D2315" s="1198"/>
      <c r="E2315" s="74" t="s">
        <v>282</v>
      </c>
      <c r="F2315" s="75" t="s">
        <v>8</v>
      </c>
      <c r="G2315" s="58" t="s">
        <v>290</v>
      </c>
      <c r="H2315" s="215">
        <v>12114</v>
      </c>
      <c r="I2315" s="74" t="s">
        <v>283</v>
      </c>
      <c r="J2315" s="1199" t="s">
        <v>2529</v>
      </c>
      <c r="K2315" s="1199"/>
      <c r="L2315" s="1200"/>
      <c r="M2315" s="1146"/>
      <c r="O2315" s="159"/>
      <c r="P2315" s="147"/>
      <c r="Q2315" s="149"/>
    </row>
    <row r="2316" spans="1:18" ht="30" customHeight="1">
      <c r="A2316" s="37" t="s">
        <v>304</v>
      </c>
      <c r="B2316" s="1201" t="s">
        <v>330</v>
      </c>
      <c r="C2316" s="1202"/>
      <c r="D2316" s="1203"/>
      <c r="E2316" s="150" t="s">
        <v>295</v>
      </c>
      <c r="F2316" s="150" t="s">
        <v>331</v>
      </c>
      <c r="G2316" s="1204" t="s">
        <v>332</v>
      </c>
      <c r="H2316" s="1205"/>
      <c r="I2316" s="77" t="s">
        <v>305</v>
      </c>
      <c r="J2316" s="77"/>
      <c r="K2316" s="1206" t="s">
        <v>297</v>
      </c>
      <c r="L2316" s="1207"/>
      <c r="M2316" s="1146"/>
      <c r="O2316" s="159"/>
      <c r="P2316" s="147"/>
      <c r="Q2316" s="149"/>
    </row>
    <row r="2317" spans="1:18" ht="30" customHeight="1">
      <c r="A2317" s="629" t="s">
        <v>1433</v>
      </c>
      <c r="B2317" s="1179" t="s">
        <v>1434</v>
      </c>
      <c r="C2317" s="1180"/>
      <c r="D2317" s="1181"/>
      <c r="E2317" s="153">
        <v>169</v>
      </c>
      <c r="F2317" s="20" t="s">
        <v>8</v>
      </c>
      <c r="G2317" s="206"/>
      <c r="H2317" s="20"/>
      <c r="I2317" s="912">
        <v>1.1000000000000001</v>
      </c>
      <c r="J2317" s="326"/>
      <c r="K2317" s="153">
        <f>+E2317*I2317</f>
        <v>185.9</v>
      </c>
      <c r="L2317" s="20" t="s">
        <v>8</v>
      </c>
      <c r="M2317" s="1146"/>
      <c r="N2317" s="282"/>
      <c r="O2317" s="34"/>
      <c r="P2317" s="283"/>
      <c r="Q2317" s="282"/>
      <c r="R2317" s="284"/>
    </row>
    <row r="2318" spans="1:18" ht="30" customHeight="1">
      <c r="A2318" s="629" t="s">
        <v>1435</v>
      </c>
      <c r="B2318" s="1176" t="s">
        <v>1275</v>
      </c>
      <c r="C2318" s="1177"/>
      <c r="D2318" s="1178"/>
      <c r="E2318" s="512">
        <v>4.32</v>
      </c>
      <c r="F2318" s="20" t="s">
        <v>8</v>
      </c>
      <c r="G2318" s="515"/>
      <c r="H2318" s="329"/>
      <c r="I2318" s="912">
        <v>1.1000000000000001</v>
      </c>
      <c r="J2318" s="326"/>
      <c r="K2318" s="153">
        <f>+E2318*I2318</f>
        <v>4.7520000000000007</v>
      </c>
      <c r="L2318" s="20" t="s">
        <v>8</v>
      </c>
      <c r="M2318" s="1146"/>
      <c r="N2318" s="282"/>
      <c r="O2318" s="34"/>
      <c r="P2318" s="283"/>
      <c r="Q2318" s="282"/>
      <c r="R2318" s="284"/>
    </row>
    <row r="2319" spans="1:18" ht="30" customHeight="1">
      <c r="A2319" s="45"/>
      <c r="B2319" s="1224"/>
      <c r="C2319" s="1224"/>
      <c r="D2319" s="1224"/>
      <c r="E2319" s="153"/>
      <c r="F2319" s="20"/>
      <c r="G2319" s="395"/>
      <c r="H2319" s="329"/>
      <c r="I2319" s="20"/>
      <c r="J2319" s="20" t="s">
        <v>346</v>
      </c>
      <c r="K2319" s="153">
        <f>SUM(K2317:K2318)</f>
        <v>190.65200000000002</v>
      </c>
      <c r="L2319" s="20" t="s">
        <v>8</v>
      </c>
      <c r="M2319" s="1146"/>
      <c r="O2319" s="159"/>
      <c r="P2319" s="147"/>
      <c r="Q2319" s="149"/>
    </row>
    <row r="2320" spans="1:18" ht="30" customHeight="1">
      <c r="A2320" s="45"/>
      <c r="B2320" s="157"/>
      <c r="C2320" s="157"/>
      <c r="D2320" s="157"/>
      <c r="E2320" s="153"/>
      <c r="F2320" s="1174" t="s">
        <v>308</v>
      </c>
      <c r="G2320" s="1208" t="s">
        <v>309</v>
      </c>
      <c r="H2320" s="1208"/>
      <c r="I2320" s="1208"/>
      <c r="J2320" s="1208"/>
      <c r="K2320" s="415">
        <v>1.08</v>
      </c>
      <c r="L2320" s="10"/>
      <c r="M2320" s="1146"/>
      <c r="O2320" s="159"/>
      <c r="P2320" s="147"/>
      <c r="Q2320" s="149"/>
    </row>
    <row r="2321" spans="1:24" ht="30" customHeight="1">
      <c r="A2321" s="45"/>
      <c r="B2321" s="157"/>
      <c r="C2321" s="157"/>
      <c r="D2321" s="157"/>
      <c r="E2321" s="153"/>
      <c r="F2321" s="1175"/>
      <c r="G2321" s="1209" t="s">
        <v>310</v>
      </c>
      <c r="H2321" s="1209"/>
      <c r="I2321" s="1209"/>
      <c r="J2321" s="1209"/>
      <c r="K2321" s="123">
        <v>1.07</v>
      </c>
      <c r="L2321" s="10"/>
      <c r="M2321" s="1146"/>
      <c r="N2321" s="1103"/>
      <c r="O2321"/>
      <c r="P2321" s="159"/>
      <c r="Q2321" s="147"/>
      <c r="R2321" s="149"/>
    </row>
    <row r="2322" spans="1:24" ht="30" customHeight="1">
      <c r="A2322" s="45"/>
      <c r="B2322" s="20"/>
      <c r="C2322" s="18"/>
      <c r="D2322" s="18"/>
      <c r="E2322" s="18"/>
      <c r="F2322" s="18"/>
      <c r="G2322" s="18"/>
      <c r="H2322" s="18"/>
      <c r="I2322" s="18"/>
      <c r="J2322" s="20" t="s">
        <v>289</v>
      </c>
      <c r="K2322" s="23">
        <f>+K2319*K2320/K2321</f>
        <v>192.43379439252337</v>
      </c>
      <c r="L2322" s="20" t="s">
        <v>8</v>
      </c>
      <c r="M2322" s="1146"/>
      <c r="N2322" s="1103"/>
      <c r="O2322"/>
      <c r="P2322" s="159"/>
      <c r="Q2322" s="147"/>
      <c r="R2322" s="149"/>
    </row>
    <row r="2323" spans="1:24" ht="30" customHeight="1" thickBot="1">
      <c r="A2323" s="45"/>
      <c r="B2323" s="45"/>
      <c r="C2323" s="46"/>
      <c r="D2323" s="46"/>
      <c r="E2323" s="46"/>
      <c r="F2323" s="46"/>
      <c r="G2323" s="47"/>
      <c r="H2323" s="46"/>
      <c r="I2323" s="630" t="s">
        <v>312</v>
      </c>
      <c r="J2323" s="178">
        <f>VLOOKUP(B2315,'Mil Cost Premiums for RUCs'!$A$4:$R$266,18,FALSE)</f>
        <v>1.3319480854780448</v>
      </c>
      <c r="K2323" s="21">
        <f>+K2322*J2323</f>
        <v>256.31182402239722</v>
      </c>
      <c r="L2323" s="45" t="s">
        <v>8</v>
      </c>
      <c r="M2323" s="1146"/>
      <c r="N2323" s="1103"/>
      <c r="O2323"/>
      <c r="P2323" s="159"/>
      <c r="Q2323" s="147"/>
      <c r="R2323" s="149"/>
    </row>
    <row r="2324" spans="1:24" ht="30" customHeight="1" thickBot="1">
      <c r="A2324" s="1165"/>
      <c r="B2324" s="1166"/>
      <c r="C2324" s="1166"/>
      <c r="D2324" s="1166"/>
      <c r="E2324" s="1166"/>
      <c r="F2324" s="1166"/>
      <c r="G2324" s="1166"/>
      <c r="H2324" s="1166"/>
      <c r="I2324" s="1166"/>
      <c r="J2324" s="1166"/>
      <c r="K2324" s="1166"/>
      <c r="L2324" s="1167"/>
      <c r="M2324" s="1146"/>
      <c r="N2324" s="1103"/>
      <c r="O2324"/>
      <c r="P2324" s="159"/>
      <c r="Q2324" s="147"/>
      <c r="R2324" s="149"/>
    </row>
    <row r="2325" spans="1:24" ht="30" customHeight="1">
      <c r="A2325" s="27" t="s">
        <v>280</v>
      </c>
      <c r="B2325" s="82">
        <v>5304</v>
      </c>
      <c r="C2325" s="1197" t="s">
        <v>1437</v>
      </c>
      <c r="D2325" s="1198"/>
      <c r="E2325" s="74" t="s">
        <v>282</v>
      </c>
      <c r="F2325" s="75" t="s">
        <v>8</v>
      </c>
      <c r="G2325" s="58" t="s">
        <v>290</v>
      </c>
      <c r="H2325" s="215">
        <v>3440</v>
      </c>
      <c r="I2325" s="74" t="s">
        <v>283</v>
      </c>
      <c r="J2325" s="1199" t="s">
        <v>2529</v>
      </c>
      <c r="K2325" s="1199"/>
      <c r="L2325" s="1200"/>
      <c r="M2325" s="1146"/>
      <c r="N2325" s="1103"/>
      <c r="O2325"/>
      <c r="P2325" s="159"/>
      <c r="Q2325" s="147"/>
      <c r="R2325" s="149"/>
    </row>
    <row r="2326" spans="1:24" ht="30" customHeight="1">
      <c r="A2326" s="37" t="s">
        <v>304</v>
      </c>
      <c r="B2326" s="1201" t="s">
        <v>330</v>
      </c>
      <c r="C2326" s="1202"/>
      <c r="D2326" s="1203"/>
      <c r="E2326" s="150" t="s">
        <v>295</v>
      </c>
      <c r="F2326" s="150" t="s">
        <v>331</v>
      </c>
      <c r="G2326" s="1204" t="s">
        <v>332</v>
      </c>
      <c r="H2326" s="1205"/>
      <c r="I2326" s="77" t="s">
        <v>305</v>
      </c>
      <c r="J2326" s="77"/>
      <c r="K2326" s="1206" t="s">
        <v>297</v>
      </c>
      <c r="L2326" s="1207"/>
      <c r="M2326" s="1146"/>
      <c r="N2326" s="1103"/>
      <c r="O2326"/>
      <c r="P2326" s="159"/>
      <c r="Q2326" s="147"/>
      <c r="R2326" s="149"/>
    </row>
    <row r="2327" spans="1:24" ht="30" customHeight="1">
      <c r="A2327" s="629" t="s">
        <v>1438</v>
      </c>
      <c r="B2327" s="1176" t="s">
        <v>2900</v>
      </c>
      <c r="C2327" s="1177"/>
      <c r="D2327" s="1178"/>
      <c r="E2327" s="153">
        <f>196.62-3.99</f>
        <v>192.63</v>
      </c>
      <c r="F2327" s="20" t="s">
        <v>8</v>
      </c>
      <c r="G2327" s="206"/>
      <c r="H2327" s="20"/>
      <c r="I2327" s="20">
        <v>1.04</v>
      </c>
      <c r="J2327" s="20"/>
      <c r="K2327" s="153">
        <f>+E2327*I2327</f>
        <v>200.33520000000001</v>
      </c>
      <c r="L2327" s="20" t="s">
        <v>8</v>
      </c>
      <c r="M2327" s="1146"/>
      <c r="N2327" s="1103"/>
      <c r="O2327" s="43"/>
      <c r="P2327" s="159"/>
      <c r="Q2327" s="147"/>
      <c r="R2327" s="149"/>
    </row>
    <row r="2328" spans="1:24" ht="30" customHeight="1">
      <c r="A2328" s="629" t="s">
        <v>418</v>
      </c>
      <c r="B2328" s="1176" t="s">
        <v>1436</v>
      </c>
      <c r="C2328" s="1177"/>
      <c r="D2328" s="1178"/>
      <c r="E2328" s="512">
        <v>4.1399999999999997</v>
      </c>
      <c r="F2328" s="20" t="s">
        <v>8</v>
      </c>
      <c r="G2328" s="515"/>
      <c r="H2328" s="329"/>
      <c r="I2328" s="20">
        <v>1.04</v>
      </c>
      <c r="J2328" s="20"/>
      <c r="K2328" s="153">
        <f>+E2328*I2328</f>
        <v>4.3056000000000001</v>
      </c>
      <c r="L2328" s="20" t="s">
        <v>8</v>
      </c>
      <c r="M2328" s="1146"/>
      <c r="N2328" s="1103"/>
      <c r="O2328" s="43"/>
      <c r="P2328" s="159"/>
      <c r="Q2328" s="147"/>
      <c r="R2328" s="149"/>
    </row>
    <row r="2329" spans="1:24" ht="30" customHeight="1">
      <c r="A2329" s="45"/>
      <c r="B2329" s="1224"/>
      <c r="C2329" s="1224"/>
      <c r="D2329" s="1224"/>
      <c r="E2329" s="153"/>
      <c r="F2329" s="20"/>
      <c r="G2329" s="395"/>
      <c r="H2329" s="329"/>
      <c r="I2329" s="20"/>
      <c r="J2329" s="20" t="s">
        <v>346</v>
      </c>
      <c r="K2329" s="153">
        <f>SUM(K2327:K2328)</f>
        <v>204.64080000000001</v>
      </c>
      <c r="L2329" s="20" t="s">
        <v>8</v>
      </c>
      <c r="M2329" s="1146"/>
      <c r="N2329" s="1103"/>
      <c r="O2329" s="43"/>
      <c r="P2329" s="159"/>
      <c r="Q2329" s="147"/>
      <c r="R2329" s="149"/>
    </row>
    <row r="2330" spans="1:24" ht="30" customHeight="1">
      <c r="A2330" s="45"/>
      <c r="B2330" s="1599" t="s">
        <v>1406</v>
      </c>
      <c r="C2330" s="1600"/>
      <c r="D2330" s="1601"/>
      <c r="E2330" s="153"/>
      <c r="F2330" s="1174" t="s">
        <v>308</v>
      </c>
      <c r="G2330" s="1208" t="s">
        <v>309</v>
      </c>
      <c r="H2330" s="1208"/>
      <c r="I2330" s="1208"/>
      <c r="J2330" s="1208"/>
      <c r="K2330" s="415">
        <v>1.08</v>
      </c>
      <c r="L2330" s="10"/>
      <c r="M2330" s="1146"/>
      <c r="N2330" s="1103"/>
      <c r="O2330" s="43"/>
      <c r="P2330" s="159"/>
      <c r="Q2330" s="147"/>
      <c r="R2330" s="149"/>
    </row>
    <row r="2331" spans="1:24" ht="30" customHeight="1">
      <c r="A2331" s="45"/>
      <c r="B2331" s="1212" t="s">
        <v>2737</v>
      </c>
      <c r="C2331" s="1213"/>
      <c r="D2331" s="1214"/>
      <c r="E2331" s="153"/>
      <c r="F2331" s="1175"/>
      <c r="G2331" s="1209" t="s">
        <v>310</v>
      </c>
      <c r="H2331" s="1209"/>
      <c r="I2331" s="1209"/>
      <c r="J2331" s="1209"/>
      <c r="K2331" s="123">
        <v>1.07</v>
      </c>
      <c r="L2331" s="10"/>
      <c r="M2331" s="1146"/>
      <c r="N2331" s="282"/>
      <c r="O2331" s="43"/>
      <c r="P2331" s="159"/>
      <c r="Q2331" s="147"/>
      <c r="R2331" s="149"/>
    </row>
    <row r="2332" spans="1:24" ht="30" customHeight="1">
      <c r="A2332" s="45"/>
      <c r="B2332" s="20"/>
      <c r="C2332" s="18"/>
      <c r="D2332" s="18"/>
      <c r="E2332" s="18"/>
      <c r="F2332" s="18"/>
      <c r="G2332" s="18"/>
      <c r="H2332" s="18"/>
      <c r="I2332" s="18"/>
      <c r="J2332" s="20" t="s">
        <v>289</v>
      </c>
      <c r="K2332" s="23">
        <f>+K2329*K2330/K2331</f>
        <v>206.55333084112152</v>
      </c>
      <c r="L2332" s="20" t="s">
        <v>8</v>
      </c>
      <c r="M2332" s="1146"/>
      <c r="O2332" s="159"/>
      <c r="P2332" s="147"/>
      <c r="Q2332" s="149"/>
      <c r="T2332" s="38"/>
      <c r="U2332" s="38"/>
      <c r="V2332" s="38"/>
      <c r="W2332" s="38"/>
      <c r="X2332" s="38"/>
    </row>
    <row r="2333" spans="1:24" s="38" customFormat="1" ht="30" customHeight="1" thickBot="1">
      <c r="A2333" s="45"/>
      <c r="B2333" s="20"/>
      <c r="C2333" s="18"/>
      <c r="D2333" s="18"/>
      <c r="E2333" s="18"/>
      <c r="F2333" s="18"/>
      <c r="G2333" s="160" t="s">
        <v>312</v>
      </c>
      <c r="H2333" s="18"/>
      <c r="I2333" s="18"/>
      <c r="J2333" s="139">
        <f>VLOOKUP(B2325,'Mil Cost Premiums for RUCs'!$A$4:$R$266,18,FALSE)</f>
        <v>1.3319480854780448</v>
      </c>
      <c r="K2333" s="23">
        <f>+K2332*J2333</f>
        <v>275.11831356294499</v>
      </c>
      <c r="L2333" s="20" t="s">
        <v>8</v>
      </c>
      <c r="M2333" s="1146"/>
      <c r="N2333" s="193"/>
      <c r="O2333" s="159"/>
      <c r="P2333" s="147"/>
      <c r="Q2333" s="149"/>
      <c r="T2333"/>
      <c r="U2333"/>
      <c r="V2333"/>
      <c r="W2333"/>
      <c r="X2333"/>
    </row>
    <row r="2334" spans="1:24" ht="30" customHeight="1" thickBot="1">
      <c r="A2334" s="1165"/>
      <c r="B2334" s="1166"/>
      <c r="C2334" s="1166"/>
      <c r="D2334" s="1166"/>
      <c r="E2334" s="1166"/>
      <c r="F2334" s="1166"/>
      <c r="G2334" s="1166"/>
      <c r="H2334" s="1166"/>
      <c r="I2334" s="1166"/>
      <c r="J2334" s="1166"/>
      <c r="K2334" s="1166"/>
      <c r="L2334" s="1167"/>
      <c r="M2334" s="1146"/>
      <c r="O2334" s="159"/>
      <c r="P2334" s="147"/>
      <c r="Q2334" s="149"/>
    </row>
    <row r="2335" spans="1:24" ht="30" customHeight="1">
      <c r="A2335" s="27" t="s">
        <v>280</v>
      </c>
      <c r="B2335" s="82">
        <v>5306</v>
      </c>
      <c r="C2335" s="1197" t="s">
        <v>1439</v>
      </c>
      <c r="D2335" s="1198"/>
      <c r="E2335" s="74" t="s">
        <v>282</v>
      </c>
      <c r="F2335" s="75" t="s">
        <v>8</v>
      </c>
      <c r="G2335" s="58" t="s">
        <v>290</v>
      </c>
      <c r="H2335" s="215">
        <v>10831</v>
      </c>
      <c r="I2335" s="74" t="s">
        <v>283</v>
      </c>
      <c r="J2335" s="1199" t="s">
        <v>2529</v>
      </c>
      <c r="K2335" s="1199"/>
      <c r="L2335" s="1200"/>
      <c r="M2335" s="1146"/>
      <c r="O2335" s="159"/>
      <c r="P2335" s="147"/>
      <c r="Q2335" s="149"/>
    </row>
    <row r="2336" spans="1:24" ht="30" customHeight="1">
      <c r="A2336" s="37" t="s">
        <v>304</v>
      </c>
      <c r="B2336" s="1201" t="s">
        <v>330</v>
      </c>
      <c r="C2336" s="1202"/>
      <c r="D2336" s="1203"/>
      <c r="E2336" s="150" t="s">
        <v>295</v>
      </c>
      <c r="F2336" s="150" t="s">
        <v>331</v>
      </c>
      <c r="G2336" s="1204" t="s">
        <v>332</v>
      </c>
      <c r="H2336" s="1205"/>
      <c r="I2336" s="77" t="s">
        <v>305</v>
      </c>
      <c r="J2336" s="77"/>
      <c r="K2336" s="1206" t="s">
        <v>297</v>
      </c>
      <c r="L2336" s="1207"/>
      <c r="M2336" s="1146"/>
      <c r="O2336" s="159"/>
      <c r="P2336" s="147"/>
      <c r="Q2336" s="149"/>
    </row>
    <row r="2337" spans="1:18" ht="30" customHeight="1">
      <c r="A2337" s="629" t="s">
        <v>1366</v>
      </c>
      <c r="B2337" s="1179" t="s">
        <v>1440</v>
      </c>
      <c r="C2337" s="1180"/>
      <c r="D2337" s="1181"/>
      <c r="E2337" s="153">
        <v>79.39</v>
      </c>
      <c r="F2337" s="20" t="s">
        <v>8</v>
      </c>
      <c r="G2337" s="206"/>
      <c r="H2337" s="20"/>
      <c r="I2337" s="20">
        <v>1.05</v>
      </c>
      <c r="J2337" s="326"/>
      <c r="K2337" s="153">
        <f>+E2337*I2337</f>
        <v>83.359499999999997</v>
      </c>
      <c r="L2337" s="20" t="s">
        <v>8</v>
      </c>
      <c r="M2337" s="1146"/>
      <c r="O2337" s="159"/>
      <c r="P2337" s="147"/>
      <c r="Q2337" s="149"/>
    </row>
    <row r="2338" spans="1:18" ht="30" customHeight="1">
      <c r="A2338" s="631" t="s">
        <v>1366</v>
      </c>
      <c r="B2338" s="1611" t="s">
        <v>1441</v>
      </c>
      <c r="C2338" s="1612"/>
      <c r="D2338" s="1613"/>
      <c r="E2338" s="632">
        <v>22.25</v>
      </c>
      <c r="F2338" s="20" t="s">
        <v>8</v>
      </c>
      <c r="G2338" s="633"/>
      <c r="H2338" s="634"/>
      <c r="I2338" s="20">
        <v>1.05</v>
      </c>
      <c r="J2338" s="326"/>
      <c r="K2338" s="153">
        <f>+E2338*I2338</f>
        <v>23.362500000000001</v>
      </c>
      <c r="L2338" s="20" t="s">
        <v>8</v>
      </c>
      <c r="M2338" s="1146"/>
      <c r="O2338" s="159"/>
      <c r="P2338" s="147"/>
      <c r="Q2338" s="149"/>
    </row>
    <row r="2339" spans="1:18" ht="30" customHeight="1">
      <c r="A2339" s="629" t="s">
        <v>377</v>
      </c>
      <c r="B2339" s="1224" t="s">
        <v>1187</v>
      </c>
      <c r="C2339" s="1224"/>
      <c r="D2339" s="1224"/>
      <c r="E2339" s="23">
        <v>4.01</v>
      </c>
      <c r="F2339" s="20" t="s">
        <v>8</v>
      </c>
      <c r="G2339" s="243"/>
      <c r="H2339" s="329"/>
      <c r="I2339" s="20">
        <v>1.05</v>
      </c>
      <c r="J2339" s="326"/>
      <c r="K2339" s="153">
        <f>+E2339*I2339</f>
        <v>4.2104999999999997</v>
      </c>
      <c r="L2339" s="20" t="s">
        <v>8</v>
      </c>
      <c r="M2339" s="1146"/>
      <c r="O2339" s="159"/>
      <c r="P2339" s="147"/>
      <c r="Q2339" s="149"/>
    </row>
    <row r="2340" spans="1:18" ht="30" customHeight="1">
      <c r="A2340" s="45"/>
      <c r="B2340" s="1224"/>
      <c r="C2340" s="1224"/>
      <c r="D2340" s="1224"/>
      <c r="E2340" s="153"/>
      <c r="F2340" s="20"/>
      <c r="G2340" s="395"/>
      <c r="H2340" s="329"/>
      <c r="I2340" s="20"/>
      <c r="J2340" s="20" t="s">
        <v>346</v>
      </c>
      <c r="K2340" s="153">
        <f>SUM(K2337:K2339)</f>
        <v>110.93249999999999</v>
      </c>
      <c r="L2340" s="20" t="s">
        <v>8</v>
      </c>
      <c r="M2340" s="1146"/>
      <c r="O2340" s="159"/>
      <c r="P2340" s="147"/>
      <c r="Q2340" s="149"/>
    </row>
    <row r="2341" spans="1:18" ht="30" customHeight="1">
      <c r="A2341" s="45"/>
      <c r="B2341" s="1599" t="s">
        <v>1406</v>
      </c>
      <c r="C2341" s="1600"/>
      <c r="D2341" s="1601"/>
      <c r="E2341" s="153"/>
      <c r="F2341" s="1174" t="s">
        <v>308</v>
      </c>
      <c r="G2341" s="1208" t="s">
        <v>309</v>
      </c>
      <c r="H2341" s="1208"/>
      <c r="I2341" s="1208"/>
      <c r="J2341" s="1208"/>
      <c r="K2341" s="415">
        <v>1.08</v>
      </c>
      <c r="L2341" s="10"/>
      <c r="M2341" s="1146"/>
      <c r="O2341" s="159"/>
      <c r="P2341" s="147"/>
      <c r="Q2341" s="149"/>
    </row>
    <row r="2342" spans="1:18" ht="30" customHeight="1">
      <c r="A2342" s="45"/>
      <c r="B2342" s="1614" t="s">
        <v>2738</v>
      </c>
      <c r="C2342" s="1615"/>
      <c r="D2342" s="1616"/>
      <c r="E2342" s="153"/>
      <c r="F2342" s="1175"/>
      <c r="G2342" s="1209" t="s">
        <v>310</v>
      </c>
      <c r="H2342" s="1209"/>
      <c r="I2342" s="1209"/>
      <c r="J2342" s="1209"/>
      <c r="K2342" s="123">
        <v>1.07</v>
      </c>
      <c r="L2342" s="10"/>
      <c r="M2342" s="1146"/>
      <c r="O2342" s="159"/>
      <c r="P2342" s="147"/>
      <c r="Q2342" s="149"/>
    </row>
    <row r="2343" spans="1:18" ht="30" customHeight="1">
      <c r="A2343" s="45"/>
      <c r="B2343" s="20"/>
      <c r="C2343" s="18"/>
      <c r="D2343" s="18"/>
      <c r="E2343" s="18"/>
      <c r="F2343" s="18"/>
      <c r="G2343" s="18"/>
      <c r="H2343" s="18"/>
      <c r="I2343" s="18"/>
      <c r="J2343" s="20" t="s">
        <v>289</v>
      </c>
      <c r="K2343" s="23">
        <f>+K2340*K2341/K2342</f>
        <v>111.96925233644858</v>
      </c>
      <c r="L2343" s="20" t="s">
        <v>8</v>
      </c>
      <c r="M2343" s="1146"/>
      <c r="O2343" s="159"/>
      <c r="P2343" s="147"/>
      <c r="Q2343" s="149"/>
    </row>
    <row r="2344" spans="1:18" ht="30" customHeight="1" thickBot="1">
      <c r="A2344" s="45"/>
      <c r="B2344" s="20"/>
      <c r="C2344" s="18"/>
      <c r="D2344" s="18"/>
      <c r="E2344" s="18"/>
      <c r="F2344" s="18"/>
      <c r="G2344" s="13"/>
      <c r="H2344" s="18"/>
      <c r="I2344" s="597" t="s">
        <v>312</v>
      </c>
      <c r="J2344" s="139">
        <f>VLOOKUP(B2335,'Mil Cost Premiums for RUCs'!$A$4:$R$266,18,FALSE)</f>
        <v>1.2981950150858137</v>
      </c>
      <c r="K2344" s="23">
        <f>+K2343*J2344</f>
        <v>145.35792522606314</v>
      </c>
      <c r="L2344" s="20" t="s">
        <v>8</v>
      </c>
      <c r="M2344" s="1146"/>
      <c r="O2344" s="159"/>
      <c r="P2344" s="147"/>
      <c r="Q2344" s="149"/>
    </row>
    <row r="2345" spans="1:18" ht="30" customHeight="1" thickBot="1">
      <c r="A2345" s="1165"/>
      <c r="B2345" s="1166"/>
      <c r="C2345" s="1166"/>
      <c r="D2345" s="1166"/>
      <c r="E2345" s="1166"/>
      <c r="F2345" s="1166"/>
      <c r="G2345" s="1166"/>
      <c r="H2345" s="1166"/>
      <c r="I2345" s="1166"/>
      <c r="J2345" s="1166"/>
      <c r="K2345" s="1166"/>
      <c r="L2345" s="1167"/>
      <c r="M2345" s="1146"/>
      <c r="O2345" s="159"/>
      <c r="P2345" s="147"/>
      <c r="Q2345" s="149"/>
    </row>
    <row r="2346" spans="1:18" ht="30" customHeight="1">
      <c r="A2346" s="27" t="s">
        <v>280</v>
      </c>
      <c r="B2346" s="82">
        <v>5307</v>
      </c>
      <c r="C2346" s="1197" t="s">
        <v>1443</v>
      </c>
      <c r="D2346" s="1198"/>
      <c r="E2346" s="74" t="s">
        <v>282</v>
      </c>
      <c r="F2346" s="75" t="s">
        <v>8</v>
      </c>
      <c r="G2346" s="58" t="s">
        <v>290</v>
      </c>
      <c r="H2346" s="215">
        <v>1647</v>
      </c>
      <c r="I2346" s="74" t="s">
        <v>283</v>
      </c>
      <c r="J2346" s="1199" t="s">
        <v>2529</v>
      </c>
      <c r="K2346" s="1199"/>
      <c r="L2346" s="1200"/>
      <c r="M2346" s="1146"/>
      <c r="N2346" s="282"/>
      <c r="O2346" s="34"/>
      <c r="P2346" s="283"/>
      <c r="Q2346" s="282"/>
      <c r="R2346" s="284"/>
    </row>
    <row r="2347" spans="1:18" ht="30" customHeight="1">
      <c r="A2347" s="37" t="s">
        <v>304</v>
      </c>
      <c r="B2347" s="1201" t="s">
        <v>330</v>
      </c>
      <c r="C2347" s="1202"/>
      <c r="D2347" s="1203"/>
      <c r="E2347" s="150" t="s">
        <v>295</v>
      </c>
      <c r="F2347" s="150" t="s">
        <v>331</v>
      </c>
      <c r="G2347" s="1204" t="s">
        <v>332</v>
      </c>
      <c r="H2347" s="1205"/>
      <c r="I2347" s="77" t="s">
        <v>305</v>
      </c>
      <c r="J2347" s="77"/>
      <c r="K2347" s="1206" t="s">
        <v>297</v>
      </c>
      <c r="L2347" s="1207"/>
      <c r="M2347" s="1146"/>
      <c r="N2347" s="282"/>
      <c r="O2347" s="34"/>
      <c r="P2347" s="283"/>
      <c r="Q2347" s="282"/>
      <c r="R2347" s="284"/>
    </row>
    <row r="2348" spans="1:18" ht="30" customHeight="1">
      <c r="A2348" s="629" t="s">
        <v>1404</v>
      </c>
      <c r="B2348" s="1179" t="s">
        <v>1444</v>
      </c>
      <c r="C2348" s="1180"/>
      <c r="D2348" s="1181"/>
      <c r="E2348" s="153">
        <v>72.599999999999994</v>
      </c>
      <c r="F2348" s="20" t="s">
        <v>8</v>
      </c>
      <c r="G2348" s="206"/>
      <c r="H2348" s="20"/>
      <c r="I2348" s="20">
        <v>1.05</v>
      </c>
      <c r="J2348" s="326"/>
      <c r="K2348" s="153">
        <f>+E2348*I2348</f>
        <v>76.23</v>
      </c>
      <c r="L2348" s="20" t="s">
        <v>8</v>
      </c>
      <c r="M2348" s="1146"/>
      <c r="O2348" s="159"/>
      <c r="P2348" s="147"/>
      <c r="Q2348" s="149"/>
    </row>
    <row r="2349" spans="1:18" ht="30" customHeight="1">
      <c r="A2349" s="629" t="s">
        <v>377</v>
      </c>
      <c r="B2349" s="1176" t="s">
        <v>1163</v>
      </c>
      <c r="C2349" s="1177"/>
      <c r="D2349" s="1178"/>
      <c r="E2349" s="512">
        <v>3.8</v>
      </c>
      <c r="F2349" s="20" t="s">
        <v>8</v>
      </c>
      <c r="G2349" s="515"/>
      <c r="H2349" s="329"/>
      <c r="I2349" s="20">
        <v>1.05</v>
      </c>
      <c r="J2349" s="326"/>
      <c r="K2349" s="153">
        <f>+E2349*I2349</f>
        <v>3.9899999999999998</v>
      </c>
      <c r="L2349" s="20" t="s">
        <v>8</v>
      </c>
      <c r="M2349" s="1146"/>
      <c r="O2349" s="159"/>
      <c r="P2349" s="147"/>
      <c r="Q2349" s="149"/>
    </row>
    <row r="2350" spans="1:18" ht="30" customHeight="1">
      <c r="A2350" s="45"/>
      <c r="B2350" s="1224"/>
      <c r="C2350" s="1224"/>
      <c r="D2350" s="1224"/>
      <c r="E2350" s="153"/>
      <c r="F2350" s="20"/>
      <c r="G2350" s="395"/>
      <c r="H2350" s="329"/>
      <c r="I2350" s="20"/>
      <c r="J2350" s="20" t="s">
        <v>346</v>
      </c>
      <c r="K2350" s="153">
        <f>SUM(K2348:K2349)</f>
        <v>80.22</v>
      </c>
      <c r="L2350" s="20" t="s">
        <v>8</v>
      </c>
      <c r="M2350" s="1146"/>
      <c r="N2350" s="1103"/>
      <c r="O2350"/>
      <c r="P2350" s="159"/>
      <c r="Q2350" s="147"/>
      <c r="R2350" s="149"/>
    </row>
    <row r="2351" spans="1:18" ht="30" customHeight="1">
      <c r="A2351" s="45"/>
      <c r="B2351" s="1599" t="s">
        <v>2739</v>
      </c>
      <c r="C2351" s="1600"/>
      <c r="D2351" s="1601"/>
      <c r="E2351" s="153"/>
      <c r="F2351" s="1174" t="s">
        <v>308</v>
      </c>
      <c r="G2351" s="1208" t="s">
        <v>309</v>
      </c>
      <c r="H2351" s="1208"/>
      <c r="I2351" s="1208"/>
      <c r="J2351" s="1208"/>
      <c r="K2351" s="415">
        <v>1.08</v>
      </c>
      <c r="L2351" s="10"/>
      <c r="M2351" s="1146"/>
      <c r="N2351" s="1103"/>
      <c r="O2351"/>
      <c r="P2351" s="159"/>
      <c r="Q2351" s="147"/>
      <c r="R2351" s="149"/>
    </row>
    <row r="2352" spans="1:18" ht="30" customHeight="1">
      <c r="A2352" s="45"/>
      <c r="B2352" s="157"/>
      <c r="C2352" s="157"/>
      <c r="D2352" s="157"/>
      <c r="E2352" s="153"/>
      <c r="F2352" s="1175"/>
      <c r="G2352" s="1209" t="s">
        <v>310</v>
      </c>
      <c r="H2352" s="1209"/>
      <c r="I2352" s="1209"/>
      <c r="J2352" s="1209"/>
      <c r="K2352" s="123">
        <v>1.07</v>
      </c>
      <c r="L2352" s="10"/>
      <c r="M2352" s="1146"/>
      <c r="N2352" s="1103"/>
      <c r="O2352"/>
      <c r="P2352" s="159"/>
      <c r="Q2352" s="147"/>
      <c r="R2352" s="149"/>
    </row>
    <row r="2353" spans="1:24" ht="30" customHeight="1">
      <c r="A2353" s="45"/>
      <c r="B2353" s="20"/>
      <c r="C2353" s="18"/>
      <c r="D2353" s="18"/>
      <c r="E2353" s="18"/>
      <c r="F2353" s="18"/>
      <c r="G2353" s="18"/>
      <c r="H2353" s="18"/>
      <c r="I2353" s="18"/>
      <c r="J2353" s="18" t="s">
        <v>289</v>
      </c>
      <c r="K2353" s="23">
        <f>+K2350*K2351/K2352</f>
        <v>80.969719626168228</v>
      </c>
      <c r="L2353" s="20" t="s">
        <v>8</v>
      </c>
      <c r="M2353" s="1146"/>
      <c r="N2353" s="1103"/>
      <c r="O2353"/>
      <c r="P2353" s="159"/>
      <c r="Q2353" s="147"/>
      <c r="R2353" s="149"/>
    </row>
    <row r="2354" spans="1:24" ht="30" customHeight="1" thickBot="1">
      <c r="A2354" s="45"/>
      <c r="B2354" s="20"/>
      <c r="C2354" s="18"/>
      <c r="D2354" s="18"/>
      <c r="E2354" s="18"/>
      <c r="F2354" s="18"/>
      <c r="G2354" s="160" t="s">
        <v>312</v>
      </c>
      <c r="H2354" s="18"/>
      <c r="I2354" s="18"/>
      <c r="J2354" s="139">
        <f>VLOOKUP(B2346,'Mil Cost Premiums for RUCs'!$A$4:$R$266,18,FALSE)</f>
        <v>1.1199953840399997</v>
      </c>
      <c r="K2354" s="23">
        <f>+K2353*J2354</f>
        <v>90.685712228321378</v>
      </c>
      <c r="L2354" s="20" t="s">
        <v>8</v>
      </c>
      <c r="M2354" s="1146"/>
      <c r="N2354" s="1103"/>
      <c r="O2354"/>
      <c r="P2354" s="159"/>
      <c r="Q2354" s="147"/>
      <c r="R2354" s="149"/>
    </row>
    <row r="2355" spans="1:24" ht="30" customHeight="1" thickBot="1">
      <c r="A2355" s="1165"/>
      <c r="B2355" s="1166"/>
      <c r="C2355" s="1166"/>
      <c r="D2355" s="1166"/>
      <c r="E2355" s="1166"/>
      <c r="F2355" s="1166"/>
      <c r="G2355" s="1166"/>
      <c r="H2355" s="1166"/>
      <c r="I2355" s="1166"/>
      <c r="J2355" s="1166"/>
      <c r="K2355" s="1166"/>
      <c r="L2355" s="1167"/>
      <c r="M2355" s="1146"/>
      <c r="N2355" s="1103"/>
      <c r="O2355"/>
      <c r="P2355" s="159"/>
      <c r="Q2355" s="147"/>
      <c r="R2355" s="149"/>
    </row>
    <row r="2356" spans="1:24" ht="30" customHeight="1">
      <c r="A2356" s="27" t="s">
        <v>280</v>
      </c>
      <c r="B2356" s="82">
        <v>5400</v>
      </c>
      <c r="C2356" s="1228" t="s">
        <v>1445</v>
      </c>
      <c r="D2356" s="1229"/>
      <c r="E2356" s="74" t="s">
        <v>282</v>
      </c>
      <c r="F2356" s="75" t="s">
        <v>8</v>
      </c>
      <c r="G2356" s="58" t="s">
        <v>290</v>
      </c>
      <c r="H2356" s="336">
        <v>16091</v>
      </c>
      <c r="I2356" s="74" t="s">
        <v>283</v>
      </c>
      <c r="J2356" s="1199" t="s">
        <v>292</v>
      </c>
      <c r="K2356" s="1230"/>
      <c r="L2356" s="1231"/>
      <c r="M2356" s="1146"/>
      <c r="N2356" s="1103"/>
      <c r="O2356"/>
      <c r="P2356" s="159"/>
      <c r="Q2356" s="147"/>
      <c r="R2356" s="149"/>
    </row>
    <row r="2357" spans="1:24" ht="30" customHeight="1">
      <c r="A2357" s="35" t="s">
        <v>293</v>
      </c>
      <c r="B2357" s="1232" t="s">
        <v>284</v>
      </c>
      <c r="C2357" s="1232"/>
      <c r="D2357" s="1232"/>
      <c r="E2357" s="78" t="s">
        <v>294</v>
      </c>
      <c r="F2357" s="96" t="s">
        <v>295</v>
      </c>
      <c r="G2357" s="77"/>
      <c r="H2357" s="77"/>
      <c r="I2357" s="1233" t="s">
        <v>426</v>
      </c>
      <c r="J2357" s="1234"/>
      <c r="K2357" s="1206" t="s">
        <v>297</v>
      </c>
      <c r="L2357" s="1207"/>
      <c r="M2357" s="1146"/>
      <c r="N2357" s="1103"/>
      <c r="O2357"/>
      <c r="P2357" s="159"/>
      <c r="Q2357" s="147"/>
      <c r="R2357" s="149"/>
    </row>
    <row r="2358" spans="1:24" ht="30" customHeight="1">
      <c r="A2358" s="48" t="s">
        <v>298</v>
      </c>
      <c r="B2358" s="1222" t="s">
        <v>1446</v>
      </c>
      <c r="C2358" s="1222"/>
      <c r="D2358" s="1222"/>
      <c r="E2358" s="98">
        <v>17000</v>
      </c>
      <c r="F2358" s="99">
        <v>552</v>
      </c>
      <c r="G2358" s="100"/>
      <c r="H2358" s="101"/>
      <c r="I2358" s="1192">
        <f>'2019 MILCON Inflation Table'!F14</f>
        <v>1.0543655984303466</v>
      </c>
      <c r="J2358" s="1193"/>
      <c r="K2358" s="99">
        <f>+F2358*I2358</f>
        <v>582.00981033355129</v>
      </c>
      <c r="L2358" s="97" t="s">
        <v>8</v>
      </c>
      <c r="M2358" s="1146"/>
      <c r="N2358" s="1103"/>
      <c r="O2358"/>
      <c r="P2358" s="159"/>
      <c r="Q2358" s="147"/>
      <c r="R2358" s="149"/>
      <c r="T2358" s="32"/>
      <c r="U2358" s="34"/>
    </row>
    <row r="2359" spans="1:24" ht="30" customHeight="1" thickBot="1">
      <c r="A2359" s="45"/>
      <c r="B2359" s="1224"/>
      <c r="C2359" s="1224"/>
      <c r="D2359" s="1224"/>
      <c r="E2359" s="1225"/>
      <c r="F2359" s="1226"/>
      <c r="G2359" s="1226"/>
      <c r="H2359" s="1227"/>
      <c r="I2359" s="18"/>
      <c r="J2359" s="79" t="s">
        <v>289</v>
      </c>
      <c r="K2359" s="103">
        <f>+K2358</f>
        <v>582.00981033355129</v>
      </c>
      <c r="L2359" s="20" t="s">
        <v>8</v>
      </c>
      <c r="M2359" s="1146"/>
      <c r="N2359" s="125"/>
      <c r="O2359" s="33"/>
      <c r="P2359" s="32"/>
      <c r="Q2359" s="32"/>
      <c r="R2359" s="32"/>
      <c r="S2359" s="32"/>
      <c r="U2359" s="34"/>
    </row>
    <row r="2360" spans="1:24" ht="30" customHeight="1" thickBot="1">
      <c r="A2360" s="1165"/>
      <c r="B2360" s="1166"/>
      <c r="C2360" s="1166"/>
      <c r="D2360" s="1166"/>
      <c r="E2360" s="1166"/>
      <c r="F2360" s="1166"/>
      <c r="G2360" s="1166"/>
      <c r="H2360" s="1166"/>
      <c r="I2360" s="1166"/>
      <c r="J2360" s="1166"/>
      <c r="K2360" s="1166"/>
      <c r="L2360" s="1167"/>
      <c r="M2360" s="1146"/>
      <c r="U2360" s="32"/>
      <c r="V2360" s="32"/>
      <c r="W2360" s="32"/>
      <c r="X2360" s="32"/>
    </row>
    <row r="2361" spans="1:24" s="32" customFormat="1" ht="30" customHeight="1">
      <c r="A2361" s="27" t="s">
        <v>280</v>
      </c>
      <c r="B2361" s="82">
        <v>5500</v>
      </c>
      <c r="C2361" s="1228" t="s">
        <v>1447</v>
      </c>
      <c r="D2361" s="1229"/>
      <c r="E2361" s="74" t="s">
        <v>282</v>
      </c>
      <c r="F2361" s="75" t="s">
        <v>8</v>
      </c>
      <c r="G2361" s="58" t="s">
        <v>290</v>
      </c>
      <c r="H2361" s="336">
        <v>13248</v>
      </c>
      <c r="I2361" s="74" t="s">
        <v>283</v>
      </c>
      <c r="J2361" s="1617" t="s">
        <v>1448</v>
      </c>
      <c r="K2361" s="1618"/>
      <c r="L2361" s="1619"/>
      <c r="M2361" s="1146"/>
      <c r="N2361" s="25"/>
      <c r="O2361" s="1119"/>
      <c r="P2361"/>
      <c r="Q2361"/>
      <c r="R2361"/>
      <c r="S2361"/>
      <c r="T2361" s="38"/>
      <c r="U2361" s="38"/>
      <c r="V2361" s="38"/>
      <c r="W2361" s="38"/>
      <c r="X2361" s="38"/>
    </row>
    <row r="2362" spans="1:24" s="38" customFormat="1" ht="30" customHeight="1">
      <c r="A2362" s="35" t="s">
        <v>293</v>
      </c>
      <c r="B2362" s="1232" t="s">
        <v>284</v>
      </c>
      <c r="C2362" s="1232"/>
      <c r="D2362" s="1232"/>
      <c r="E2362" s="78" t="s">
        <v>294</v>
      </c>
      <c r="F2362" s="96" t="s">
        <v>295</v>
      </c>
      <c r="G2362" s="77"/>
      <c r="H2362" s="77"/>
      <c r="I2362" s="1233" t="s">
        <v>426</v>
      </c>
      <c r="J2362" s="1234"/>
      <c r="K2362" s="1206" t="s">
        <v>297</v>
      </c>
      <c r="L2362" s="1207"/>
      <c r="M2362" s="1146"/>
      <c r="N2362" s="193"/>
      <c r="O2362" s="1119"/>
      <c r="T2362" s="44"/>
      <c r="U2362"/>
      <c r="V2362"/>
      <c r="W2362"/>
      <c r="X2362"/>
    </row>
    <row r="2363" spans="1:24" ht="30" customHeight="1">
      <c r="A2363" s="48" t="s">
        <v>298</v>
      </c>
      <c r="B2363" s="1222" t="s">
        <v>1449</v>
      </c>
      <c r="C2363" s="1222"/>
      <c r="D2363" s="1222"/>
      <c r="E2363" s="98">
        <v>34000</v>
      </c>
      <c r="F2363" s="99">
        <v>284</v>
      </c>
      <c r="G2363" s="100"/>
      <c r="H2363" s="101"/>
      <c r="I2363" s="1192">
        <f>'2019 MILCON Inflation Table'!F13</f>
        <v>1.0963107786467188</v>
      </c>
      <c r="J2363" s="1193"/>
      <c r="K2363" s="99">
        <f>+F2363*I2363</f>
        <v>311.35226113566813</v>
      </c>
      <c r="L2363" s="97" t="s">
        <v>8</v>
      </c>
      <c r="M2363" s="1146"/>
      <c r="P2363" s="34"/>
      <c r="Q2363" s="34"/>
      <c r="R2363" s="34"/>
      <c r="S2363" s="44"/>
      <c r="T2363" s="44"/>
    </row>
    <row r="2364" spans="1:24" ht="30" customHeight="1" thickBot="1">
      <c r="A2364" s="45"/>
      <c r="B2364" s="1307"/>
      <c r="C2364" s="1307"/>
      <c r="D2364" s="1307"/>
      <c r="E2364" s="1605"/>
      <c r="F2364" s="1606"/>
      <c r="G2364" s="1606"/>
      <c r="H2364" s="1607"/>
      <c r="I2364" s="46"/>
      <c r="J2364" s="37" t="s">
        <v>289</v>
      </c>
      <c r="K2364" s="626">
        <f>+K2363</f>
        <v>311.35226113566813</v>
      </c>
      <c r="L2364" s="45" t="s">
        <v>8</v>
      </c>
      <c r="M2364" s="1146"/>
      <c r="P2364" s="34"/>
      <c r="Q2364" s="34"/>
      <c r="R2364" s="34"/>
      <c r="S2364" s="44"/>
      <c r="T2364" s="32"/>
      <c r="U2364" s="34"/>
    </row>
    <row r="2365" spans="1:24" ht="30" customHeight="1" thickBot="1">
      <c r="A2365" s="1165"/>
      <c r="B2365" s="1166"/>
      <c r="C2365" s="1166"/>
      <c r="D2365" s="1166"/>
      <c r="E2365" s="1166"/>
      <c r="F2365" s="1166"/>
      <c r="G2365" s="1166"/>
      <c r="H2365" s="1166"/>
      <c r="I2365" s="1166"/>
      <c r="J2365" s="1166"/>
      <c r="K2365" s="1166"/>
      <c r="L2365" s="1167"/>
      <c r="M2365" s="1146"/>
      <c r="N2365" s="125"/>
      <c r="O2365" s="33"/>
      <c r="P2365" s="32"/>
      <c r="Q2365" s="32"/>
      <c r="R2365" s="32"/>
      <c r="S2365" s="32"/>
      <c r="T2365" s="32"/>
      <c r="U2365" s="34"/>
    </row>
    <row r="2366" spans="1:24" ht="30" customHeight="1">
      <c r="A2366" s="27" t="s">
        <v>280</v>
      </c>
      <c r="B2366" s="82">
        <v>5501</v>
      </c>
      <c r="C2366" s="1228" t="s">
        <v>1450</v>
      </c>
      <c r="D2366" s="1229"/>
      <c r="E2366" s="74" t="s">
        <v>282</v>
      </c>
      <c r="F2366" s="75" t="s">
        <v>8</v>
      </c>
      <c r="G2366" s="58" t="s">
        <v>290</v>
      </c>
      <c r="H2366" s="336">
        <v>100136</v>
      </c>
      <c r="I2366" s="74" t="s">
        <v>283</v>
      </c>
      <c r="J2366" s="1199" t="s">
        <v>2579</v>
      </c>
      <c r="K2366" s="1230"/>
      <c r="L2366" s="1231"/>
      <c r="M2366" s="1146"/>
      <c r="N2366" s="125"/>
      <c r="O2366" s="12"/>
      <c r="P2366" s="32"/>
      <c r="Q2366" s="32"/>
      <c r="R2366" s="32"/>
      <c r="S2366" s="32"/>
      <c r="T2366" s="32"/>
      <c r="U2366" s="32"/>
      <c r="V2366" s="32"/>
      <c r="W2366" s="32"/>
      <c r="X2366" s="32"/>
    </row>
    <row r="2367" spans="1:24" s="32" customFormat="1" ht="30" customHeight="1">
      <c r="A2367" s="35" t="s">
        <v>293</v>
      </c>
      <c r="B2367" s="1232" t="s">
        <v>284</v>
      </c>
      <c r="C2367" s="1232"/>
      <c r="D2367" s="1232"/>
      <c r="E2367" s="78" t="s">
        <v>294</v>
      </c>
      <c r="F2367" s="96" t="s">
        <v>295</v>
      </c>
      <c r="G2367" s="77"/>
      <c r="H2367" s="77"/>
      <c r="I2367" s="1233" t="s">
        <v>426</v>
      </c>
      <c r="J2367" s="1234"/>
      <c r="K2367" s="1206" t="s">
        <v>297</v>
      </c>
      <c r="L2367" s="1207"/>
      <c r="M2367" s="1146"/>
      <c r="N2367" s="125"/>
      <c r="O2367" s="589"/>
      <c r="T2367" s="38"/>
      <c r="U2367" s="38"/>
      <c r="V2367" s="38"/>
      <c r="W2367" s="38"/>
      <c r="X2367" s="38"/>
    </row>
    <row r="2368" spans="1:24" s="38" customFormat="1" ht="30" customHeight="1">
      <c r="A2368" s="48" t="s">
        <v>298</v>
      </c>
      <c r="B2368" s="1222" t="s">
        <v>1451</v>
      </c>
      <c r="C2368" s="1222"/>
      <c r="D2368" s="1222"/>
      <c r="E2368" s="98">
        <v>110000</v>
      </c>
      <c r="F2368" s="99">
        <v>350</v>
      </c>
      <c r="G2368" s="100"/>
      <c r="H2368" s="101"/>
      <c r="I2368" s="1192" t="s">
        <v>2562</v>
      </c>
      <c r="J2368" s="1193"/>
      <c r="K2368" s="99">
        <f>+F2368</f>
        <v>350</v>
      </c>
      <c r="L2368" s="97" t="s">
        <v>8</v>
      </c>
      <c r="M2368" s="1146"/>
      <c r="N2368" s="193"/>
      <c r="O2368" s="42"/>
      <c r="T2368"/>
      <c r="U2368" s="32"/>
      <c r="V2368" s="32"/>
      <c r="W2368" s="32"/>
      <c r="X2368" s="32"/>
    </row>
    <row r="2369" spans="1:24" s="32" customFormat="1" ht="30" customHeight="1" thickBot="1">
      <c r="A2369" s="45"/>
      <c r="B2369" s="1224"/>
      <c r="C2369" s="1224"/>
      <c r="D2369" s="1224"/>
      <c r="E2369" s="1225"/>
      <c r="F2369" s="1226"/>
      <c r="G2369" s="1226"/>
      <c r="H2369" s="1227"/>
      <c r="I2369" s="18"/>
      <c r="J2369" s="79" t="s">
        <v>289</v>
      </c>
      <c r="K2369" s="103">
        <f>+K2368</f>
        <v>350</v>
      </c>
      <c r="L2369" s="20" t="s">
        <v>8</v>
      </c>
      <c r="M2369" s="1146"/>
      <c r="N2369" s="25"/>
      <c r="O2369" s="42"/>
      <c r="P2369"/>
      <c r="Q2369"/>
      <c r="R2369"/>
      <c r="S2369"/>
      <c r="T2369"/>
    </row>
    <row r="2370" spans="1:24" s="32" customFormat="1" ht="30" customHeight="1" thickBot="1">
      <c r="A2370" s="1165"/>
      <c r="B2370" s="1166"/>
      <c r="C2370" s="1166"/>
      <c r="D2370" s="1166"/>
      <c r="E2370" s="1166"/>
      <c r="F2370" s="1166"/>
      <c r="G2370" s="1166"/>
      <c r="H2370" s="1166"/>
      <c r="I2370" s="1166"/>
      <c r="J2370" s="1166"/>
      <c r="K2370" s="1166"/>
      <c r="L2370" s="1167"/>
      <c r="M2370" s="1146"/>
      <c r="N2370" s="25"/>
      <c r="O2370" s="42"/>
      <c r="P2370"/>
      <c r="Q2370"/>
      <c r="R2370"/>
      <c r="S2370"/>
      <c r="T2370" s="44"/>
      <c r="U2370"/>
      <c r="V2370"/>
      <c r="W2370"/>
      <c r="X2370"/>
    </row>
    <row r="2371" spans="1:24" ht="30" customHeight="1">
      <c r="A2371" s="27" t="s">
        <v>280</v>
      </c>
      <c r="B2371" s="82">
        <v>6100</v>
      </c>
      <c r="C2371" s="1228" t="s">
        <v>1452</v>
      </c>
      <c r="D2371" s="1229"/>
      <c r="E2371" s="74" t="s">
        <v>282</v>
      </c>
      <c r="F2371" s="75" t="s">
        <v>8</v>
      </c>
      <c r="G2371" s="58" t="s">
        <v>290</v>
      </c>
      <c r="H2371" s="336">
        <v>10863</v>
      </c>
      <c r="I2371" s="74" t="s">
        <v>283</v>
      </c>
      <c r="J2371" s="1199" t="s">
        <v>292</v>
      </c>
      <c r="K2371" s="1230"/>
      <c r="L2371" s="1231"/>
      <c r="M2371" s="1146"/>
      <c r="O2371" s="42"/>
      <c r="P2371" s="34"/>
      <c r="Q2371" s="34"/>
      <c r="R2371" s="34"/>
      <c r="S2371" s="44"/>
      <c r="T2371" s="44"/>
    </row>
    <row r="2372" spans="1:24" ht="30" customHeight="1">
      <c r="A2372" s="35" t="s">
        <v>293</v>
      </c>
      <c r="B2372" s="1232" t="s">
        <v>284</v>
      </c>
      <c r="C2372" s="1232"/>
      <c r="D2372" s="1232"/>
      <c r="E2372" s="78" t="s">
        <v>294</v>
      </c>
      <c r="F2372" s="96" t="s">
        <v>295</v>
      </c>
      <c r="G2372" s="77"/>
      <c r="H2372" s="77"/>
      <c r="I2372" s="1233" t="s">
        <v>426</v>
      </c>
      <c r="J2372" s="1234"/>
      <c r="K2372" s="1206" t="s">
        <v>297</v>
      </c>
      <c r="L2372" s="1207"/>
      <c r="M2372" s="1146"/>
      <c r="O2372" s="42"/>
      <c r="P2372" s="34"/>
      <c r="Q2372" s="34"/>
      <c r="R2372" s="34"/>
      <c r="S2372" s="44"/>
      <c r="T2372" s="32"/>
      <c r="U2372" s="34"/>
    </row>
    <row r="2373" spans="1:24" ht="30" customHeight="1">
      <c r="A2373" s="48" t="s">
        <v>298</v>
      </c>
      <c r="B2373" s="1222" t="s">
        <v>1453</v>
      </c>
      <c r="C2373" s="1222"/>
      <c r="D2373" s="1222"/>
      <c r="E2373" s="98">
        <v>70000</v>
      </c>
      <c r="F2373" s="99">
        <v>272</v>
      </c>
      <c r="G2373" s="100"/>
      <c r="H2373" s="101"/>
      <c r="I2373" s="1192">
        <f>'2019 MILCON Inflation Table'!F14</f>
        <v>1.0543655984303466</v>
      </c>
      <c r="J2373" s="1193"/>
      <c r="K2373" s="99">
        <f>+F2373*I2373</f>
        <v>286.78744277305429</v>
      </c>
      <c r="L2373" s="97" t="s">
        <v>8</v>
      </c>
      <c r="M2373" s="1146"/>
      <c r="N2373" s="125"/>
      <c r="O2373" s="589"/>
      <c r="P2373" s="32"/>
      <c r="Q2373" s="32"/>
      <c r="R2373" s="32"/>
      <c r="S2373" s="32"/>
      <c r="T2373" s="32"/>
      <c r="U2373" s="34"/>
    </row>
    <row r="2374" spans="1:24" ht="30" customHeight="1" thickBot="1">
      <c r="A2374" s="45"/>
      <c r="B2374" s="1224"/>
      <c r="C2374" s="1224"/>
      <c r="D2374" s="1224"/>
      <c r="E2374" s="1225"/>
      <c r="F2374" s="1226"/>
      <c r="G2374" s="1226"/>
      <c r="H2374" s="1227"/>
      <c r="I2374" s="18"/>
      <c r="J2374" s="79" t="s">
        <v>289</v>
      </c>
      <c r="K2374" s="103">
        <f>+K2373</f>
        <v>286.78744277305429</v>
      </c>
      <c r="L2374" s="20" t="s">
        <v>8</v>
      </c>
      <c r="M2374" s="1146"/>
      <c r="N2374" s="125"/>
      <c r="O2374" s="12"/>
      <c r="P2374" s="32"/>
      <c r="Q2374" s="32"/>
      <c r="R2374" s="32"/>
      <c r="S2374" s="32"/>
      <c r="T2374" s="32"/>
      <c r="U2374" s="32"/>
      <c r="V2374" s="32"/>
      <c r="W2374" s="32"/>
      <c r="X2374" s="32"/>
    </row>
    <row r="2375" spans="1:24" s="32" customFormat="1" ht="30" customHeight="1" thickBot="1">
      <c r="A2375" s="1165"/>
      <c r="B2375" s="1166"/>
      <c r="C2375" s="1166"/>
      <c r="D2375" s="1166"/>
      <c r="E2375" s="1166"/>
      <c r="F2375" s="1166"/>
      <c r="G2375" s="1166"/>
      <c r="H2375" s="1166"/>
      <c r="I2375" s="1166"/>
      <c r="J2375" s="1166"/>
      <c r="K2375" s="1166"/>
      <c r="L2375" s="1167"/>
      <c r="M2375" s="1146"/>
      <c r="N2375" s="976"/>
      <c r="O2375" s="589"/>
      <c r="T2375" s="38"/>
      <c r="U2375" s="38"/>
      <c r="V2375" s="38"/>
      <c r="W2375" s="38"/>
      <c r="X2375" s="38"/>
    </row>
    <row r="2376" spans="1:24" s="38" customFormat="1" ht="30" customHeight="1">
      <c r="A2376" s="27" t="s">
        <v>280</v>
      </c>
      <c r="B2376" s="82">
        <v>6101</v>
      </c>
      <c r="C2376" s="1228" t="s">
        <v>1454</v>
      </c>
      <c r="D2376" s="1229"/>
      <c r="E2376" s="74" t="s">
        <v>282</v>
      </c>
      <c r="F2376" s="75" t="s">
        <v>8</v>
      </c>
      <c r="G2376" s="58" t="s">
        <v>290</v>
      </c>
      <c r="H2376" s="104">
        <v>12882</v>
      </c>
      <c r="I2376" s="74" t="s">
        <v>283</v>
      </c>
      <c r="J2376" s="1199" t="s">
        <v>2579</v>
      </c>
      <c r="K2376" s="1230"/>
      <c r="L2376" s="1231"/>
      <c r="M2376" s="1146"/>
      <c r="N2376" s="968"/>
      <c r="O2376" s="1119"/>
      <c r="T2376"/>
      <c r="U2376" s="32"/>
      <c r="V2376" s="32"/>
      <c r="W2376" s="32"/>
      <c r="X2376" s="32"/>
    </row>
    <row r="2377" spans="1:24" s="32" customFormat="1" ht="30" customHeight="1">
      <c r="A2377" s="35" t="s">
        <v>293</v>
      </c>
      <c r="B2377" s="1232" t="s">
        <v>284</v>
      </c>
      <c r="C2377" s="1232"/>
      <c r="D2377" s="1232"/>
      <c r="E2377" s="78" t="s">
        <v>294</v>
      </c>
      <c r="F2377" s="96" t="s">
        <v>295</v>
      </c>
      <c r="G2377" s="77"/>
      <c r="H2377" s="77"/>
      <c r="I2377" s="1233" t="s">
        <v>426</v>
      </c>
      <c r="J2377" s="1234"/>
      <c r="K2377" s="1206" t="s">
        <v>297</v>
      </c>
      <c r="L2377" s="1207"/>
      <c r="M2377" s="1146"/>
      <c r="N2377" s="982"/>
      <c r="O2377" s="1119"/>
      <c r="P2377"/>
      <c r="Q2377"/>
      <c r="R2377"/>
      <c r="S2377"/>
      <c r="T2377"/>
    </row>
    <row r="2378" spans="1:24" s="32" customFormat="1" ht="30" customHeight="1">
      <c r="A2378" s="48" t="s">
        <v>298</v>
      </c>
      <c r="B2378" s="1222" t="s">
        <v>1455</v>
      </c>
      <c r="C2378" s="1222"/>
      <c r="D2378" s="1222"/>
      <c r="E2378" s="98">
        <v>28000</v>
      </c>
      <c r="F2378" s="99">
        <v>374</v>
      </c>
      <c r="G2378" s="100"/>
      <c r="H2378" s="101"/>
      <c r="I2378" s="1192" t="s">
        <v>2562</v>
      </c>
      <c r="J2378" s="1193"/>
      <c r="K2378" s="99">
        <f>+F2378</f>
        <v>374</v>
      </c>
      <c r="L2378" s="97" t="s">
        <v>8</v>
      </c>
      <c r="M2378" s="1146"/>
      <c r="N2378" s="982"/>
      <c r="O2378" s="1119"/>
      <c r="P2378"/>
      <c r="Q2378"/>
      <c r="R2378"/>
      <c r="S2378"/>
      <c r="T2378"/>
    </row>
    <row r="2379" spans="1:24" s="32" customFormat="1" ht="30" customHeight="1" thickBot="1">
      <c r="A2379" s="45"/>
      <c r="B2379" s="1224"/>
      <c r="C2379" s="1224"/>
      <c r="D2379" s="1224"/>
      <c r="E2379" s="1225"/>
      <c r="F2379" s="1226"/>
      <c r="G2379" s="1226"/>
      <c r="H2379" s="1227"/>
      <c r="I2379" s="18"/>
      <c r="J2379" s="79" t="s">
        <v>289</v>
      </c>
      <c r="K2379" s="103">
        <f>+K2378</f>
        <v>374</v>
      </c>
      <c r="L2379" s="20" t="s">
        <v>8</v>
      </c>
      <c r="M2379" s="1146"/>
      <c r="N2379" s="982"/>
      <c r="O2379" s="1119"/>
      <c r="P2379"/>
      <c r="Q2379"/>
      <c r="R2379"/>
      <c r="S2379"/>
      <c r="T2379" s="44"/>
      <c r="U2379"/>
      <c r="V2379"/>
      <c r="W2379"/>
      <c r="X2379"/>
    </row>
    <row r="2380" spans="1:24" ht="30" customHeight="1" thickBot="1">
      <c r="A2380" s="1165"/>
      <c r="B2380" s="1166"/>
      <c r="C2380" s="1166"/>
      <c r="D2380" s="1166"/>
      <c r="E2380" s="1166"/>
      <c r="F2380" s="1166"/>
      <c r="G2380" s="1166"/>
      <c r="H2380" s="1166"/>
      <c r="I2380" s="1166"/>
      <c r="J2380" s="1166"/>
      <c r="K2380" s="1166"/>
      <c r="L2380" s="1167"/>
      <c r="M2380" s="1146"/>
      <c r="N2380" s="982"/>
      <c r="P2380" s="34"/>
      <c r="Q2380" s="34"/>
      <c r="R2380" s="34"/>
      <c r="S2380" s="44"/>
      <c r="T2380" s="44"/>
    </row>
    <row r="2381" spans="1:24" ht="30" customHeight="1">
      <c r="A2381" s="27" t="s">
        <v>280</v>
      </c>
      <c r="B2381" s="82">
        <v>6102</v>
      </c>
      <c r="C2381" s="1228" t="s">
        <v>1456</v>
      </c>
      <c r="D2381" s="1229"/>
      <c r="E2381" s="74" t="s">
        <v>282</v>
      </c>
      <c r="F2381" s="75" t="s">
        <v>8</v>
      </c>
      <c r="G2381" s="58" t="s">
        <v>290</v>
      </c>
      <c r="H2381" s="104">
        <v>13095</v>
      </c>
      <c r="I2381" s="74" t="s">
        <v>283</v>
      </c>
      <c r="J2381" s="1199" t="s">
        <v>2579</v>
      </c>
      <c r="K2381" s="1230"/>
      <c r="L2381" s="1231"/>
      <c r="M2381" s="1146"/>
      <c r="P2381" s="34"/>
      <c r="Q2381" s="34"/>
      <c r="R2381" s="34"/>
      <c r="S2381" s="44"/>
    </row>
    <row r="2382" spans="1:24" ht="30" customHeight="1">
      <c r="A2382" s="35" t="s">
        <v>293</v>
      </c>
      <c r="B2382" s="1232" t="s">
        <v>284</v>
      </c>
      <c r="C2382" s="1232"/>
      <c r="D2382" s="1232"/>
      <c r="E2382" s="78" t="s">
        <v>294</v>
      </c>
      <c r="F2382" s="96" t="s">
        <v>295</v>
      </c>
      <c r="G2382" s="77"/>
      <c r="H2382" s="77"/>
      <c r="I2382" s="1233" t="s">
        <v>426</v>
      </c>
      <c r="J2382" s="1234"/>
      <c r="K2382" s="1206" t="s">
        <v>297</v>
      </c>
      <c r="L2382" s="1207"/>
      <c r="M2382" s="1146"/>
      <c r="O2382"/>
    </row>
    <row r="2383" spans="1:24" ht="30" customHeight="1">
      <c r="A2383" s="48" t="s">
        <v>298</v>
      </c>
      <c r="B2383" s="1222" t="s">
        <v>1457</v>
      </c>
      <c r="C2383" s="1222"/>
      <c r="D2383" s="1222"/>
      <c r="E2383" s="98">
        <v>160000</v>
      </c>
      <c r="F2383" s="99">
        <v>412</v>
      </c>
      <c r="G2383" s="100"/>
      <c r="H2383" s="101"/>
      <c r="I2383" s="1192" t="s">
        <v>2562</v>
      </c>
      <c r="J2383" s="1193"/>
      <c r="K2383" s="99">
        <f>+F2383</f>
        <v>412</v>
      </c>
      <c r="L2383" s="97" t="s">
        <v>8</v>
      </c>
      <c r="M2383" s="1146"/>
      <c r="O2383"/>
    </row>
    <row r="2384" spans="1:24" ht="30" customHeight="1" thickBot="1">
      <c r="A2384" s="45"/>
      <c r="B2384" s="1224"/>
      <c r="C2384" s="1224"/>
      <c r="D2384" s="1224"/>
      <c r="E2384" s="1225"/>
      <c r="F2384" s="1226"/>
      <c r="G2384" s="1226"/>
      <c r="H2384" s="1227"/>
      <c r="I2384" s="18"/>
      <c r="J2384" s="79" t="s">
        <v>289</v>
      </c>
      <c r="K2384" s="103">
        <f>+K2383</f>
        <v>412</v>
      </c>
      <c r="L2384" s="20" t="s">
        <v>8</v>
      </c>
      <c r="M2384" s="1146"/>
      <c r="O2384"/>
      <c r="T2384" s="38"/>
      <c r="U2384" s="38"/>
      <c r="V2384" s="38"/>
      <c r="W2384" s="38"/>
      <c r="X2384" s="38"/>
    </row>
    <row r="2385" spans="1:24" s="38" customFormat="1" ht="30" customHeight="1" thickBot="1">
      <c r="A2385" s="1165"/>
      <c r="B2385" s="1166"/>
      <c r="C2385" s="1166"/>
      <c r="D2385" s="1166"/>
      <c r="E2385" s="1166"/>
      <c r="F2385" s="1166"/>
      <c r="G2385" s="1166"/>
      <c r="H2385" s="1166"/>
      <c r="I2385" s="1166"/>
      <c r="J2385" s="1166"/>
      <c r="K2385" s="1166"/>
      <c r="L2385" s="1167"/>
      <c r="M2385" s="1146"/>
      <c r="N2385" s="193"/>
      <c r="T2385"/>
      <c r="U2385"/>
      <c r="V2385"/>
      <c r="W2385"/>
      <c r="X2385"/>
    </row>
    <row r="2386" spans="1:24" ht="30" customHeight="1">
      <c r="A2386" s="27" t="s">
        <v>280</v>
      </c>
      <c r="B2386" s="82">
        <v>6103</v>
      </c>
      <c r="C2386" s="1197" t="s">
        <v>1458</v>
      </c>
      <c r="D2386" s="1198"/>
      <c r="E2386" s="74" t="s">
        <v>282</v>
      </c>
      <c r="F2386" s="145" t="s">
        <v>8</v>
      </c>
      <c r="G2386" s="58" t="s">
        <v>290</v>
      </c>
      <c r="H2386" s="492">
        <v>7489</v>
      </c>
      <c r="I2386" s="74" t="s">
        <v>283</v>
      </c>
      <c r="J2386" s="1199" t="s">
        <v>2529</v>
      </c>
      <c r="K2386" s="1199"/>
      <c r="L2386" s="1200"/>
      <c r="M2386" s="1146"/>
      <c r="O2386"/>
    </row>
    <row r="2387" spans="1:24" ht="30" customHeight="1">
      <c r="A2387" s="37" t="s">
        <v>304</v>
      </c>
      <c r="B2387" s="1201" t="s">
        <v>330</v>
      </c>
      <c r="C2387" s="1202"/>
      <c r="D2387" s="1203"/>
      <c r="E2387" s="150" t="s">
        <v>295</v>
      </c>
      <c r="F2387" s="150" t="s">
        <v>331</v>
      </c>
      <c r="G2387" s="1204" t="s">
        <v>332</v>
      </c>
      <c r="H2387" s="1205"/>
      <c r="I2387" s="77" t="s">
        <v>305</v>
      </c>
      <c r="J2387" s="77"/>
      <c r="K2387" s="1206" t="s">
        <v>297</v>
      </c>
      <c r="L2387" s="1207"/>
      <c r="M2387" s="1146"/>
      <c r="O2387"/>
    </row>
    <row r="2388" spans="1:24" ht="30" customHeight="1">
      <c r="A2388" s="629" t="s">
        <v>979</v>
      </c>
      <c r="B2388" s="1179" t="s">
        <v>1459</v>
      </c>
      <c r="C2388" s="1180"/>
      <c r="D2388" s="1181"/>
      <c r="E2388" s="153">
        <v>73.95</v>
      </c>
      <c r="F2388" s="20" t="s">
        <v>8</v>
      </c>
      <c r="G2388" s="206"/>
      <c r="H2388" s="20"/>
      <c r="I2388" s="20">
        <v>1.05</v>
      </c>
      <c r="J2388" s="326"/>
      <c r="K2388" s="153">
        <f>+E2388*I2388</f>
        <v>77.647500000000008</v>
      </c>
      <c r="L2388" s="20" t="s">
        <v>8</v>
      </c>
      <c r="M2388" s="1146"/>
      <c r="O2388"/>
    </row>
    <row r="2389" spans="1:24" ht="30" customHeight="1">
      <c r="A2389" s="629" t="s">
        <v>377</v>
      </c>
      <c r="B2389" s="1224" t="s">
        <v>1275</v>
      </c>
      <c r="C2389" s="1224"/>
      <c r="D2389" s="1224"/>
      <c r="E2389" s="23">
        <v>3.06</v>
      </c>
      <c r="F2389" s="20" t="s">
        <v>8</v>
      </c>
      <c r="G2389" s="243"/>
      <c r="H2389" s="329"/>
      <c r="I2389" s="20">
        <v>1.05</v>
      </c>
      <c r="J2389" s="326"/>
      <c r="K2389" s="153">
        <f>+E2389*I2389</f>
        <v>3.2130000000000001</v>
      </c>
      <c r="L2389" s="20" t="s">
        <v>8</v>
      </c>
      <c r="M2389" s="1146"/>
      <c r="O2389"/>
      <c r="T2389" s="32"/>
      <c r="U2389" s="34"/>
    </row>
    <row r="2390" spans="1:24" ht="30" customHeight="1">
      <c r="A2390" s="45"/>
      <c r="B2390" s="1224"/>
      <c r="C2390" s="1224"/>
      <c r="D2390" s="1224"/>
      <c r="E2390" s="153"/>
      <c r="F2390" s="20"/>
      <c r="G2390" s="395"/>
      <c r="H2390" s="329"/>
      <c r="I2390" s="20"/>
      <c r="J2390" s="20" t="s">
        <v>346</v>
      </c>
      <c r="K2390" s="153">
        <f>SUM(K2388:K2389)</f>
        <v>80.860500000000002</v>
      </c>
      <c r="L2390" s="20" t="s">
        <v>8</v>
      </c>
      <c r="M2390" s="1146"/>
      <c r="N2390" s="125"/>
      <c r="O2390" s="33"/>
      <c r="P2390" s="32"/>
      <c r="Q2390" s="32"/>
      <c r="R2390" s="32"/>
      <c r="S2390" s="32"/>
      <c r="U2390" s="34"/>
    </row>
    <row r="2391" spans="1:24" ht="30" customHeight="1">
      <c r="A2391" s="45"/>
      <c r="B2391" s="157"/>
      <c r="C2391" s="157"/>
      <c r="D2391" s="157"/>
      <c r="E2391" s="153"/>
      <c r="F2391" s="1174" t="s">
        <v>308</v>
      </c>
      <c r="G2391" s="1208" t="s">
        <v>309</v>
      </c>
      <c r="H2391" s="1208"/>
      <c r="I2391" s="1208"/>
      <c r="J2391" s="1208"/>
      <c r="K2391" s="326">
        <v>1.08</v>
      </c>
      <c r="L2391" s="10"/>
      <c r="M2391" s="1146"/>
      <c r="T2391" s="44"/>
      <c r="U2391" s="34"/>
    </row>
    <row r="2392" spans="1:24" ht="30" customHeight="1">
      <c r="A2392" s="45"/>
      <c r="B2392" s="157"/>
      <c r="C2392" s="157"/>
      <c r="D2392" s="157"/>
      <c r="E2392" s="153"/>
      <c r="F2392" s="1175"/>
      <c r="G2392" s="1209" t="s">
        <v>310</v>
      </c>
      <c r="H2392" s="1209"/>
      <c r="I2392" s="1209"/>
      <c r="J2392" s="1209"/>
      <c r="K2392" s="123">
        <v>1.07</v>
      </c>
      <c r="L2392" s="10"/>
      <c r="M2392" s="1146"/>
      <c r="N2392" s="526"/>
      <c r="P2392" s="34"/>
      <c r="Q2392" s="34"/>
      <c r="R2392" s="34"/>
      <c r="S2392" s="44"/>
      <c r="T2392" s="84"/>
      <c r="U2392" s="39"/>
      <c r="V2392" s="38"/>
      <c r="W2392" s="38"/>
      <c r="X2392" s="38"/>
    </row>
    <row r="2393" spans="1:24" s="38" customFormat="1" ht="30" customHeight="1">
      <c r="A2393" s="45"/>
      <c r="B2393" s="20"/>
      <c r="C2393" s="18"/>
      <c r="D2393" s="18"/>
      <c r="E2393" s="18"/>
      <c r="F2393" s="18"/>
      <c r="G2393" s="18"/>
      <c r="H2393" s="18"/>
      <c r="I2393" s="18"/>
      <c r="J2393" s="20" t="s">
        <v>289</v>
      </c>
      <c r="K2393" s="23">
        <f>+K2390*K2391/K2392</f>
        <v>81.61620560747663</v>
      </c>
      <c r="L2393" s="20" t="s">
        <v>8</v>
      </c>
      <c r="M2393" s="1146"/>
      <c r="N2393" s="193"/>
      <c r="O2393" s="1119"/>
      <c r="P2393" s="39"/>
      <c r="Q2393" s="39"/>
      <c r="R2393" s="39"/>
      <c r="S2393" s="84"/>
      <c r="T2393" s="34"/>
      <c r="U2393" s="44"/>
      <c r="V2393" s="44"/>
      <c r="W2393" s="34"/>
      <c r="X2393"/>
    </row>
    <row r="2394" spans="1:24" ht="30" customHeight="1" thickBot="1">
      <c r="A2394" s="45"/>
      <c r="B2394" s="20"/>
      <c r="C2394" s="18"/>
      <c r="D2394" s="18"/>
      <c r="E2394" s="18"/>
      <c r="F2394" s="18"/>
      <c r="G2394" s="13"/>
      <c r="H2394" s="18"/>
      <c r="I2394" s="597" t="s">
        <v>312</v>
      </c>
      <c r="J2394" s="139">
        <f>VLOOKUP(B2386,'Mil Cost Premiums for RUCs'!$A$4:$R$266,18,FALSE)</f>
        <v>1.1861082984327833</v>
      </c>
      <c r="K2394" s="23">
        <f>+K2393*J2394</f>
        <v>96.8056587576243</v>
      </c>
      <c r="L2394" s="20" t="s">
        <v>8</v>
      </c>
      <c r="M2394" s="1146"/>
      <c r="N2394" s="282"/>
      <c r="R2394" s="34"/>
      <c r="S2394" s="34"/>
      <c r="T2394" s="44"/>
      <c r="U2394" s="34"/>
    </row>
    <row r="2395" spans="1:24" ht="30" customHeight="1" thickBot="1">
      <c r="A2395" s="1165"/>
      <c r="B2395" s="1166"/>
      <c r="C2395" s="1166"/>
      <c r="D2395" s="1166"/>
      <c r="E2395" s="1166"/>
      <c r="F2395" s="1166"/>
      <c r="G2395" s="1166"/>
      <c r="H2395" s="1166"/>
      <c r="I2395" s="1166"/>
      <c r="J2395" s="1166"/>
      <c r="K2395" s="1166"/>
      <c r="L2395" s="1167"/>
      <c r="M2395" s="1146"/>
      <c r="P2395" s="34"/>
      <c r="Q2395" s="34"/>
      <c r="R2395" s="34"/>
      <c r="S2395" s="44"/>
      <c r="T2395" s="44"/>
      <c r="U2395" s="34"/>
    </row>
    <row r="2396" spans="1:24" ht="30" customHeight="1">
      <c r="A2396" s="81" t="s">
        <v>280</v>
      </c>
      <c r="B2396" s="82">
        <v>6104</v>
      </c>
      <c r="C2396" s="1228" t="s">
        <v>1460</v>
      </c>
      <c r="D2396" s="1229"/>
      <c r="E2396" s="74" t="s">
        <v>282</v>
      </c>
      <c r="F2396" s="75" t="s">
        <v>8</v>
      </c>
      <c r="G2396" s="58" t="s">
        <v>290</v>
      </c>
      <c r="H2396" s="492">
        <v>10764</v>
      </c>
      <c r="I2396" s="74" t="s">
        <v>283</v>
      </c>
      <c r="J2396" s="1199" t="s">
        <v>1461</v>
      </c>
      <c r="K2396" s="1230"/>
      <c r="L2396" s="1231"/>
      <c r="M2396" s="1146"/>
      <c r="N2396" s="963"/>
      <c r="P2396" s="34"/>
      <c r="Q2396" s="34"/>
      <c r="R2396" s="34"/>
      <c r="S2396" s="44"/>
      <c r="T2396" s="44"/>
      <c r="U2396" s="34"/>
    </row>
    <row r="2397" spans="1:24" ht="30" customHeight="1">
      <c r="A2397" s="77"/>
      <c r="B2397" s="1232" t="s">
        <v>284</v>
      </c>
      <c r="C2397" s="1232"/>
      <c r="D2397" s="1232"/>
      <c r="E2397" s="77" t="s">
        <v>294</v>
      </c>
      <c r="F2397" s="77" t="s">
        <v>295</v>
      </c>
      <c r="G2397" s="1233"/>
      <c r="H2397" s="1234"/>
      <c r="I2397" s="1233" t="s">
        <v>296</v>
      </c>
      <c r="J2397" s="1234"/>
      <c r="K2397" s="1206" t="s">
        <v>297</v>
      </c>
      <c r="L2397" s="1207"/>
      <c r="M2397" s="1146"/>
      <c r="N2397" s="963"/>
      <c r="P2397" s="34"/>
      <c r="Q2397" s="34"/>
      <c r="R2397" s="34"/>
      <c r="S2397" s="44"/>
      <c r="T2397" s="44"/>
      <c r="U2397" s="34"/>
    </row>
    <row r="2398" spans="1:24" ht="30" customHeight="1">
      <c r="A2398" s="65" t="s">
        <v>298</v>
      </c>
      <c r="B2398" s="1222" t="s">
        <v>1462</v>
      </c>
      <c r="C2398" s="1222"/>
      <c r="D2398" s="1222"/>
      <c r="E2398" s="500">
        <v>26000</v>
      </c>
      <c r="F2398" s="99">
        <v>294</v>
      </c>
      <c r="G2398" s="1533"/>
      <c r="H2398" s="1534"/>
      <c r="I2398" s="1192">
        <f>+'2019 MILCON Inflation Table'!F12</f>
        <v>1.1382049245432884</v>
      </c>
      <c r="J2398" s="1193"/>
      <c r="K2398" s="343">
        <f>+F2398*I2398</f>
        <v>334.63224781572677</v>
      </c>
      <c r="L2398" s="65" t="s">
        <v>8</v>
      </c>
      <c r="M2398" s="1146"/>
      <c r="N2398" s="963"/>
      <c r="P2398" s="34"/>
      <c r="Q2398" s="34"/>
      <c r="R2398" s="34"/>
      <c r="S2398" s="44"/>
      <c r="T2398" s="44"/>
      <c r="U2398" s="34"/>
    </row>
    <row r="2399" spans="1:24" ht="30" customHeight="1" thickBot="1">
      <c r="A2399" s="20"/>
      <c r="B2399" s="1224" t="s">
        <v>1463</v>
      </c>
      <c r="C2399" s="1224"/>
      <c r="D2399" s="1224"/>
      <c r="E2399" s="1225"/>
      <c r="F2399" s="1226"/>
      <c r="G2399" s="1226"/>
      <c r="H2399" s="1227"/>
      <c r="I2399" s="18"/>
      <c r="J2399" s="79" t="s">
        <v>289</v>
      </c>
      <c r="K2399" s="107">
        <f>+K2398</f>
        <v>334.63224781572677</v>
      </c>
      <c r="L2399" s="20" t="s">
        <v>8</v>
      </c>
      <c r="M2399" s="1146"/>
      <c r="N2399" s="963"/>
      <c r="P2399" s="34"/>
      <c r="Q2399" s="34"/>
      <c r="R2399" s="34"/>
      <c r="S2399" s="44"/>
      <c r="T2399" s="44"/>
      <c r="U2399" s="34"/>
    </row>
    <row r="2400" spans="1:24" ht="30" customHeight="1" thickBot="1">
      <c r="A2400" s="1165"/>
      <c r="B2400" s="1166"/>
      <c r="C2400" s="1166"/>
      <c r="D2400" s="1166"/>
      <c r="E2400" s="1166"/>
      <c r="F2400" s="1166"/>
      <c r="G2400" s="1166"/>
      <c r="H2400" s="1166"/>
      <c r="I2400" s="1166"/>
      <c r="J2400" s="1166"/>
      <c r="K2400" s="1166"/>
      <c r="L2400" s="1167"/>
      <c r="M2400" s="1146"/>
      <c r="N2400" s="963"/>
      <c r="P2400" s="34"/>
      <c r="Q2400" s="34"/>
      <c r="R2400" s="34"/>
      <c r="S2400" s="44"/>
      <c r="T2400" s="44"/>
      <c r="U2400" s="34"/>
    </row>
    <row r="2401" spans="1:24" ht="30" customHeight="1">
      <c r="A2401" s="81" t="s">
        <v>280</v>
      </c>
      <c r="B2401" s="82">
        <v>6106</v>
      </c>
      <c r="C2401" s="1228" t="s">
        <v>1464</v>
      </c>
      <c r="D2401" s="1229"/>
      <c r="E2401" s="74" t="s">
        <v>282</v>
      </c>
      <c r="F2401" s="75" t="s">
        <v>8</v>
      </c>
      <c r="G2401" s="58" t="s">
        <v>290</v>
      </c>
      <c r="H2401" s="104">
        <v>28198</v>
      </c>
      <c r="I2401" s="74" t="s">
        <v>283</v>
      </c>
      <c r="J2401" s="1199" t="s">
        <v>1349</v>
      </c>
      <c r="K2401" s="1230"/>
      <c r="L2401" s="1231"/>
      <c r="M2401" s="1146"/>
      <c r="P2401" s="34"/>
      <c r="Q2401" s="34"/>
      <c r="R2401" s="34"/>
      <c r="S2401" s="44"/>
      <c r="T2401" s="44"/>
      <c r="U2401" s="34"/>
    </row>
    <row r="2402" spans="1:24" ht="30" customHeight="1">
      <c r="A2402" s="77" t="s">
        <v>293</v>
      </c>
      <c r="B2402" s="1232" t="s">
        <v>284</v>
      </c>
      <c r="C2402" s="1232"/>
      <c r="D2402" s="1232"/>
      <c r="E2402" s="96" t="s">
        <v>295</v>
      </c>
      <c r="F2402" s="77" t="s">
        <v>294</v>
      </c>
      <c r="G2402" s="1365" t="s">
        <v>332</v>
      </c>
      <c r="H2402" s="1366"/>
      <c r="I2402" s="1233" t="s">
        <v>296</v>
      </c>
      <c r="J2402" s="1234"/>
      <c r="K2402" s="1206" t="s">
        <v>297</v>
      </c>
      <c r="L2402" s="1207"/>
      <c r="M2402" s="1146"/>
      <c r="P2402" s="34"/>
      <c r="Q2402" s="34"/>
      <c r="R2402" s="34"/>
      <c r="S2402" s="44"/>
      <c r="T2402" s="44"/>
      <c r="U2402" s="34"/>
    </row>
    <row r="2403" spans="1:24" ht="30" customHeight="1">
      <c r="A2403" s="20">
        <v>21612</v>
      </c>
      <c r="B2403" s="1176" t="s">
        <v>1465</v>
      </c>
      <c r="C2403" s="1177"/>
      <c r="D2403" s="1178"/>
      <c r="E2403" s="153">
        <v>193</v>
      </c>
      <c r="F2403" s="316">
        <v>13000</v>
      </c>
      <c r="G2403" s="286"/>
      <c r="H2403" s="286"/>
      <c r="I2403" s="1546">
        <f>+'2019 MILCON Inflation Table'!F8</f>
        <v>1.2987915407854984</v>
      </c>
      <c r="J2403" s="1547"/>
      <c r="K2403" s="106">
        <f>+E2403*I2403</f>
        <v>250.6667673716012</v>
      </c>
      <c r="L2403" s="97" t="s">
        <v>8</v>
      </c>
      <c r="M2403" s="1146"/>
      <c r="P2403" s="34"/>
      <c r="Q2403" s="34"/>
      <c r="R2403" s="34"/>
      <c r="S2403" s="44"/>
      <c r="T2403" s="44"/>
      <c r="U2403" s="34"/>
    </row>
    <row r="2404" spans="1:24" ht="30" customHeight="1" thickBot="1">
      <c r="A2404" s="20"/>
      <c r="B2404" s="1179"/>
      <c r="C2404" s="1180"/>
      <c r="D2404" s="1181"/>
      <c r="E2404" s="181"/>
      <c r="F2404" s="338"/>
      <c r="G2404" s="181"/>
      <c r="H2404" s="339"/>
      <c r="I2404" s="18"/>
      <c r="J2404" s="79" t="s">
        <v>289</v>
      </c>
      <c r="K2404" s="107">
        <f>AVERAGE(K2403:K2403)</f>
        <v>250.6667673716012</v>
      </c>
      <c r="L2404" s="97" t="s">
        <v>8</v>
      </c>
      <c r="M2404" s="1146"/>
      <c r="P2404" s="34"/>
      <c r="Q2404" s="34"/>
      <c r="R2404" s="34"/>
      <c r="S2404" s="44"/>
      <c r="T2404" s="44"/>
      <c r="U2404" s="34"/>
    </row>
    <row r="2405" spans="1:24" ht="30" customHeight="1" thickBot="1">
      <c r="A2405" s="1165"/>
      <c r="B2405" s="1166"/>
      <c r="C2405" s="1166"/>
      <c r="D2405" s="1166"/>
      <c r="E2405" s="1166"/>
      <c r="F2405" s="1166"/>
      <c r="G2405" s="1166"/>
      <c r="H2405" s="1166"/>
      <c r="I2405" s="1166"/>
      <c r="J2405" s="1166"/>
      <c r="K2405" s="1166"/>
      <c r="L2405" s="1167"/>
      <c r="M2405" s="1146"/>
      <c r="P2405" s="34"/>
      <c r="Q2405" s="34"/>
      <c r="R2405" s="34"/>
      <c r="S2405" s="44"/>
      <c r="T2405" s="44"/>
      <c r="U2405" s="34"/>
    </row>
    <row r="2406" spans="1:24" ht="30" customHeight="1">
      <c r="A2406" s="27" t="s">
        <v>280</v>
      </c>
      <c r="B2406" s="82">
        <v>6107</v>
      </c>
      <c r="C2406" s="1197" t="s">
        <v>2505</v>
      </c>
      <c r="D2406" s="1198"/>
      <c r="E2406" s="74" t="s">
        <v>282</v>
      </c>
      <c r="F2406" s="145" t="s">
        <v>8</v>
      </c>
      <c r="G2406" s="58" t="s">
        <v>290</v>
      </c>
      <c r="H2406" s="492">
        <v>800000</v>
      </c>
      <c r="I2406" s="74" t="s">
        <v>283</v>
      </c>
      <c r="J2406" s="1199" t="s">
        <v>2529</v>
      </c>
      <c r="K2406" s="1199"/>
      <c r="L2406" s="1200"/>
      <c r="M2406" s="1146"/>
      <c r="P2406" s="34"/>
      <c r="Q2406" s="34"/>
      <c r="R2406" s="34"/>
      <c r="S2406" s="44"/>
      <c r="T2406" s="84"/>
      <c r="U2406" s="39"/>
      <c r="V2406" s="38"/>
      <c r="W2406" s="38"/>
      <c r="X2406" s="38"/>
    </row>
    <row r="2407" spans="1:24" s="38" customFormat="1" ht="30" customHeight="1">
      <c r="A2407" s="37" t="s">
        <v>304</v>
      </c>
      <c r="B2407" s="1201" t="s">
        <v>330</v>
      </c>
      <c r="C2407" s="1202"/>
      <c r="D2407" s="1203"/>
      <c r="E2407" s="150" t="s">
        <v>295</v>
      </c>
      <c r="F2407" s="150" t="s">
        <v>331</v>
      </c>
      <c r="G2407" s="1204" t="s">
        <v>332</v>
      </c>
      <c r="H2407" s="1205"/>
      <c r="I2407" s="77" t="s">
        <v>305</v>
      </c>
      <c r="J2407" s="77"/>
      <c r="K2407" s="1206" t="s">
        <v>297</v>
      </c>
      <c r="L2407" s="1207"/>
      <c r="M2407" s="1146"/>
      <c r="N2407" s="193"/>
      <c r="O2407" s="1119"/>
      <c r="P2407" s="39"/>
      <c r="Q2407" s="39"/>
      <c r="R2407" s="39"/>
      <c r="S2407" s="84"/>
      <c r="T2407" s="34"/>
      <c r="U2407" s="44"/>
      <c r="V2407" s="44"/>
      <c r="W2407" s="34"/>
      <c r="X2407"/>
    </row>
    <row r="2408" spans="1:24" ht="30" customHeight="1">
      <c r="A2408" s="629" t="s">
        <v>1501</v>
      </c>
      <c r="B2408" s="1179" t="s">
        <v>2508</v>
      </c>
      <c r="C2408" s="1180"/>
      <c r="D2408" s="1181"/>
      <c r="E2408" s="153">
        <v>209.11</v>
      </c>
      <c r="F2408" s="20" t="s">
        <v>8</v>
      </c>
      <c r="G2408" s="206"/>
      <c r="H2408" s="20"/>
      <c r="I2408" s="20">
        <v>1.07</v>
      </c>
      <c r="J2408" s="326"/>
      <c r="K2408" s="153">
        <f>+E2408*I2408</f>
        <v>223.74770000000004</v>
      </c>
      <c r="L2408" s="20" t="s">
        <v>8</v>
      </c>
      <c r="M2408" s="1146"/>
      <c r="N2408" s="282"/>
      <c r="R2408" s="34"/>
      <c r="S2408" s="34"/>
      <c r="T2408" s="44"/>
      <c r="U2408" s="34"/>
    </row>
    <row r="2409" spans="1:24" ht="30" customHeight="1">
      <c r="A2409" s="629" t="s">
        <v>1501</v>
      </c>
      <c r="B2409" s="1224" t="s">
        <v>2510</v>
      </c>
      <c r="C2409" s="1224"/>
      <c r="D2409" s="1224"/>
      <c r="E2409" s="23"/>
      <c r="F2409" s="20"/>
      <c r="G2409" s="949">
        <f>12*0.005</f>
        <v>0.06</v>
      </c>
      <c r="H2409" s="329"/>
      <c r="I2409" s="20">
        <v>1.07</v>
      </c>
      <c r="J2409" s="326"/>
      <c r="K2409" s="153">
        <f>+K2408*I2409*0.06</f>
        <v>14.364602340000001</v>
      </c>
      <c r="L2409" s="20" t="s">
        <v>8</v>
      </c>
      <c r="M2409" s="1146"/>
      <c r="P2409" s="34"/>
      <c r="Q2409" s="34"/>
      <c r="R2409" s="34"/>
      <c r="S2409" s="44"/>
      <c r="T2409" s="44"/>
      <c r="U2409" s="34"/>
    </row>
    <row r="2410" spans="1:24" ht="30" customHeight="1">
      <c r="A2410" s="629" t="s">
        <v>418</v>
      </c>
      <c r="B2410" s="1224" t="s">
        <v>2511</v>
      </c>
      <c r="C2410" s="1224"/>
      <c r="D2410" s="1224"/>
      <c r="E2410" s="23">
        <v>2.2200000000000002</v>
      </c>
      <c r="F2410" s="20" t="s">
        <v>8</v>
      </c>
      <c r="G2410" s="949"/>
      <c r="H2410" s="329"/>
      <c r="I2410" s="20">
        <v>1.07</v>
      </c>
      <c r="J2410" s="326"/>
      <c r="K2410" s="153">
        <f>+E2410*I2410</f>
        <v>2.3754000000000004</v>
      </c>
      <c r="L2410" s="20"/>
      <c r="M2410" s="1146"/>
      <c r="N2410" s="963"/>
      <c r="P2410" s="34"/>
      <c r="Q2410" s="34"/>
      <c r="R2410" s="34"/>
      <c r="S2410" s="44"/>
      <c r="T2410" s="44"/>
      <c r="U2410" s="34"/>
    </row>
    <row r="2411" spans="1:24" ht="30" customHeight="1">
      <c r="A2411" s="45"/>
      <c r="B2411" s="1224"/>
      <c r="C2411" s="1224"/>
      <c r="D2411" s="1224"/>
      <c r="E2411" s="153"/>
      <c r="F2411" s="20"/>
      <c r="G2411" s="395"/>
      <c r="H2411" s="329"/>
      <c r="I2411" s="20"/>
      <c r="J2411" s="20" t="s">
        <v>346</v>
      </c>
      <c r="K2411" s="153">
        <f>SUM(K2408:K2410)</f>
        <v>240.48770234000006</v>
      </c>
      <c r="L2411" s="20" t="s">
        <v>8</v>
      </c>
      <c r="M2411" s="1146"/>
      <c r="N2411" s="963"/>
      <c r="P2411" s="34"/>
      <c r="Q2411" s="34"/>
      <c r="R2411" s="34"/>
      <c r="S2411" s="44"/>
      <c r="T2411" s="44"/>
      <c r="U2411" s="34"/>
    </row>
    <row r="2412" spans="1:24" ht="30" customHeight="1">
      <c r="A2412" s="45"/>
      <c r="B2412" s="157"/>
      <c r="C2412" s="157"/>
      <c r="D2412" s="157"/>
      <c r="E2412" s="153"/>
      <c r="F2412" s="1174" t="s">
        <v>308</v>
      </c>
      <c r="G2412" s="1208" t="s">
        <v>309</v>
      </c>
      <c r="H2412" s="1208"/>
      <c r="I2412" s="1208"/>
      <c r="J2412" s="1208"/>
      <c r="K2412" s="326">
        <v>1.08</v>
      </c>
      <c r="L2412" s="10"/>
      <c r="M2412" s="1146"/>
      <c r="N2412" s="963"/>
      <c r="P2412" s="34"/>
      <c r="Q2412" s="34"/>
      <c r="R2412" s="34"/>
      <c r="S2412" s="44"/>
      <c r="T2412" s="44"/>
      <c r="U2412" s="34"/>
    </row>
    <row r="2413" spans="1:24" ht="30" customHeight="1">
      <c r="A2413" s="45"/>
      <c r="B2413" s="157"/>
      <c r="C2413" s="157"/>
      <c r="D2413" s="157"/>
      <c r="E2413" s="153"/>
      <c r="F2413" s="1175"/>
      <c r="G2413" s="1209" t="s">
        <v>310</v>
      </c>
      <c r="H2413" s="1209"/>
      <c r="I2413" s="1209"/>
      <c r="J2413" s="1209"/>
      <c r="K2413" s="123">
        <v>1.07</v>
      </c>
      <c r="L2413" s="10"/>
      <c r="M2413" s="1146"/>
      <c r="N2413" s="963"/>
      <c r="P2413" s="34"/>
      <c r="Q2413" s="34"/>
      <c r="R2413" s="34"/>
      <c r="S2413" s="44"/>
      <c r="T2413" s="44"/>
      <c r="U2413" s="34"/>
    </row>
    <row r="2414" spans="1:24" ht="30" customHeight="1">
      <c r="A2414" s="1383" t="s">
        <v>2507</v>
      </c>
      <c r="B2414" s="1384"/>
      <c r="C2414" s="1384"/>
      <c r="D2414" s="1385"/>
      <c r="E2414" s="18"/>
      <c r="F2414" s="18"/>
      <c r="G2414" s="18"/>
      <c r="H2414" s="18"/>
      <c r="I2414" s="18"/>
      <c r="J2414" s="20" t="s">
        <v>289</v>
      </c>
      <c r="K2414" s="23">
        <f>+K2411*K2412/K2413</f>
        <v>242.73525096000006</v>
      </c>
      <c r="L2414" s="20" t="s">
        <v>8</v>
      </c>
      <c r="M2414" s="1146"/>
      <c r="N2414" s="963"/>
      <c r="P2414" s="34"/>
      <c r="Q2414" s="34"/>
      <c r="R2414" s="34"/>
      <c r="S2414" s="44"/>
      <c r="T2414" s="44"/>
      <c r="U2414" s="34"/>
    </row>
    <row r="2415" spans="1:24" ht="30" customHeight="1" thickBot="1">
      <c r="A2415" s="1620" t="s">
        <v>2506</v>
      </c>
      <c r="B2415" s="1621"/>
      <c r="C2415" s="1621"/>
      <c r="D2415" s="1622"/>
      <c r="E2415" s="18"/>
      <c r="F2415" s="18"/>
      <c r="G2415" s="13"/>
      <c r="H2415" s="18"/>
      <c r="I2415" s="597" t="s">
        <v>312</v>
      </c>
      <c r="J2415" s="139">
        <f>VLOOKUP(B2406,'Mil Cost Premiums for RUCs'!$A$4:$R$266,18,FALSE)</f>
        <v>1.3319480854780448</v>
      </c>
      <c r="K2415" s="23">
        <f>+K2414*J2415</f>
        <v>323.3107527942048</v>
      </c>
      <c r="L2415" s="20" t="s">
        <v>8</v>
      </c>
      <c r="M2415" s="1146"/>
      <c r="P2415" s="34"/>
      <c r="Q2415" s="34"/>
      <c r="R2415" s="34"/>
      <c r="S2415" s="44"/>
      <c r="T2415" s="44"/>
      <c r="U2415" s="34"/>
    </row>
    <row r="2416" spans="1:24" ht="30" customHeight="1" thickBot="1">
      <c r="A2416" s="1165"/>
      <c r="B2416" s="1166"/>
      <c r="C2416" s="1166"/>
      <c r="D2416" s="1166"/>
      <c r="E2416" s="1166"/>
      <c r="F2416" s="1166"/>
      <c r="G2416" s="1166"/>
      <c r="H2416" s="1166"/>
      <c r="I2416" s="1166"/>
      <c r="J2416" s="1166"/>
      <c r="K2416" s="1166"/>
      <c r="L2416" s="1167"/>
      <c r="M2416" s="1146"/>
      <c r="P2416" s="34"/>
      <c r="Q2416" s="34"/>
      <c r="R2416" s="34"/>
      <c r="S2416" s="44"/>
      <c r="T2416" s="44"/>
      <c r="U2416" s="34"/>
    </row>
    <row r="2417" spans="1:24" ht="30" customHeight="1">
      <c r="A2417" s="81" t="s">
        <v>280</v>
      </c>
      <c r="B2417" s="82">
        <v>6200</v>
      </c>
      <c r="C2417" s="1228" t="s">
        <v>1466</v>
      </c>
      <c r="D2417" s="1229"/>
      <c r="E2417" s="74" t="s">
        <v>282</v>
      </c>
      <c r="F2417" s="75" t="s">
        <v>8</v>
      </c>
      <c r="G2417" s="58" t="s">
        <v>290</v>
      </c>
      <c r="H2417" s="76">
        <v>6297</v>
      </c>
      <c r="I2417" s="74" t="s">
        <v>283</v>
      </c>
      <c r="J2417" s="1199" t="s">
        <v>1349</v>
      </c>
      <c r="K2417" s="1230"/>
      <c r="L2417" s="1231"/>
      <c r="M2417" s="1146"/>
      <c r="P2417" s="34"/>
      <c r="Q2417" s="34"/>
      <c r="R2417" s="34"/>
      <c r="S2417" s="44"/>
      <c r="T2417" s="44"/>
      <c r="U2417" s="34"/>
    </row>
    <row r="2418" spans="1:24" ht="30" customHeight="1">
      <c r="A2418" s="77" t="s">
        <v>293</v>
      </c>
      <c r="B2418" s="1232" t="s">
        <v>284</v>
      </c>
      <c r="C2418" s="1232"/>
      <c r="D2418" s="1232"/>
      <c r="E2418" s="78" t="s">
        <v>294</v>
      </c>
      <c r="F2418" s="96" t="s">
        <v>295</v>
      </c>
      <c r="G2418" s="636"/>
      <c r="H2418" s="637"/>
      <c r="I2418" s="1233" t="s">
        <v>426</v>
      </c>
      <c r="J2418" s="1234"/>
      <c r="K2418" s="1206" t="s">
        <v>297</v>
      </c>
      <c r="L2418" s="1207"/>
      <c r="M2418" s="1146"/>
      <c r="P2418" s="34"/>
      <c r="Q2418" s="34"/>
      <c r="R2418" s="34"/>
      <c r="S2418" s="44"/>
      <c r="T2418" s="44"/>
      <c r="U2418" s="34"/>
    </row>
    <row r="2419" spans="1:24" ht="30" customHeight="1">
      <c r="A2419" s="97">
        <v>62010</v>
      </c>
      <c r="B2419" s="1222" t="s">
        <v>1467</v>
      </c>
      <c r="C2419" s="1222"/>
      <c r="D2419" s="1222"/>
      <c r="E2419" s="98">
        <v>6000</v>
      </c>
      <c r="F2419" s="105">
        <v>235</v>
      </c>
      <c r="G2419" s="97"/>
      <c r="H2419" s="530"/>
      <c r="I2419" s="1546">
        <f>+'2019 MILCON Inflation Table'!F8</f>
        <v>1.2987915407854984</v>
      </c>
      <c r="J2419" s="1547"/>
      <c r="K2419" s="106">
        <f>+F2419*I2419</f>
        <v>305.21601208459214</v>
      </c>
      <c r="L2419" s="97" t="s">
        <v>8</v>
      </c>
      <c r="M2419" s="1146"/>
      <c r="P2419" s="34"/>
      <c r="Q2419" s="34"/>
      <c r="R2419" s="34"/>
      <c r="S2419" s="44"/>
      <c r="T2419" s="44"/>
      <c r="U2419" s="34"/>
    </row>
    <row r="2420" spans="1:24" ht="30" customHeight="1" thickBot="1">
      <c r="A2420" s="20"/>
      <c r="B2420" s="1224"/>
      <c r="C2420" s="1224"/>
      <c r="D2420" s="1224"/>
      <c r="E2420" s="1225"/>
      <c r="F2420" s="1226"/>
      <c r="G2420" s="1226"/>
      <c r="H2420" s="1227"/>
      <c r="I2420" s="18"/>
      <c r="J2420" s="79" t="s">
        <v>289</v>
      </c>
      <c r="K2420" s="107">
        <f>+K2419</f>
        <v>305.21601208459214</v>
      </c>
      <c r="L2420" s="20" t="s">
        <v>8</v>
      </c>
      <c r="M2420" s="1146"/>
      <c r="P2420" s="34"/>
      <c r="Q2420" s="34"/>
      <c r="R2420" s="34"/>
      <c r="S2420" s="44"/>
      <c r="T2420" s="84"/>
      <c r="U2420" s="39"/>
      <c r="V2420" s="38"/>
      <c r="W2420" s="38"/>
      <c r="X2420" s="38"/>
    </row>
    <row r="2421" spans="1:24" s="38" customFormat="1" ht="30" customHeight="1" thickBot="1">
      <c r="A2421" s="1165"/>
      <c r="B2421" s="1166"/>
      <c r="C2421" s="1166"/>
      <c r="D2421" s="1166"/>
      <c r="E2421" s="1166"/>
      <c r="F2421" s="1166"/>
      <c r="G2421" s="1166"/>
      <c r="H2421" s="1166"/>
      <c r="I2421" s="1166"/>
      <c r="J2421" s="1166"/>
      <c r="K2421" s="1166"/>
      <c r="L2421" s="1167"/>
      <c r="M2421" s="1146"/>
      <c r="N2421" s="193"/>
      <c r="O2421" s="1119"/>
      <c r="P2421" s="39"/>
      <c r="Q2421" s="39"/>
      <c r="R2421" s="39"/>
      <c r="S2421" s="84"/>
      <c r="T2421" s="34"/>
      <c r="U2421" s="44"/>
      <c r="V2421" s="44"/>
      <c r="W2421" s="34"/>
      <c r="X2421"/>
    </row>
    <row r="2422" spans="1:24" ht="30" customHeight="1">
      <c r="A2422" s="81" t="s">
        <v>280</v>
      </c>
      <c r="B2422" s="82">
        <v>6201</v>
      </c>
      <c r="C2422" s="1228" t="s">
        <v>1468</v>
      </c>
      <c r="D2422" s="1229"/>
      <c r="E2422" s="74" t="s">
        <v>282</v>
      </c>
      <c r="F2422" s="75" t="s">
        <v>8</v>
      </c>
      <c r="G2422" s="58" t="s">
        <v>290</v>
      </c>
      <c r="H2422" s="104">
        <v>17835</v>
      </c>
      <c r="I2422" s="74" t="s">
        <v>283</v>
      </c>
      <c r="J2422" s="1199" t="s">
        <v>2741</v>
      </c>
      <c r="K2422" s="1230"/>
      <c r="L2422" s="1231"/>
      <c r="M2422" s="1146"/>
      <c r="N2422" s="282"/>
      <c r="R2422" s="34"/>
      <c r="S2422" s="34"/>
      <c r="T2422" s="44"/>
      <c r="U2422" s="34"/>
    </row>
    <row r="2423" spans="1:24" ht="30" customHeight="1">
      <c r="A2423" s="77" t="s">
        <v>293</v>
      </c>
      <c r="B2423" s="1232" t="s">
        <v>284</v>
      </c>
      <c r="C2423" s="1232"/>
      <c r="D2423" s="1232"/>
      <c r="E2423" s="78" t="s">
        <v>294</v>
      </c>
      <c r="F2423" s="96" t="s">
        <v>295</v>
      </c>
      <c r="G2423" s="636"/>
      <c r="H2423" s="78"/>
      <c r="I2423" s="1233" t="s">
        <v>296</v>
      </c>
      <c r="J2423" s="1234"/>
      <c r="K2423" s="1206" t="s">
        <v>297</v>
      </c>
      <c r="L2423" s="1207"/>
      <c r="M2423" s="1146"/>
      <c r="P2423" s="34"/>
      <c r="Q2423" s="34"/>
      <c r="R2423" s="34"/>
      <c r="S2423" s="44"/>
      <c r="T2423" s="44"/>
      <c r="U2423" s="34"/>
    </row>
    <row r="2424" spans="1:24" ht="30" customHeight="1">
      <c r="A2424" s="65" t="s">
        <v>298</v>
      </c>
      <c r="B2424" s="1222" t="s">
        <v>299</v>
      </c>
      <c r="C2424" s="1222"/>
      <c r="D2424" s="1222"/>
      <c r="E2424" s="500">
        <v>46000</v>
      </c>
      <c r="F2424" s="638">
        <v>701</v>
      </c>
      <c r="G2424" s="97"/>
      <c r="H2424" s="582"/>
      <c r="I2424" s="1192" t="s">
        <v>2551</v>
      </c>
      <c r="J2424" s="1193"/>
      <c r="K2424" s="639">
        <f>+F2424</f>
        <v>701</v>
      </c>
      <c r="L2424" s="65" t="s">
        <v>8</v>
      </c>
      <c r="M2424" s="1146"/>
      <c r="N2424" s="963"/>
      <c r="P2424" s="34"/>
      <c r="Q2424" s="34"/>
      <c r="R2424" s="34"/>
      <c r="S2424" s="44"/>
      <c r="T2424" s="44"/>
      <c r="U2424" s="34"/>
    </row>
    <row r="2425" spans="1:24" ht="30" customHeight="1">
      <c r="A2425" s="97">
        <v>62010</v>
      </c>
      <c r="B2425" s="1222" t="s">
        <v>1467</v>
      </c>
      <c r="C2425" s="1222"/>
      <c r="D2425" s="1222"/>
      <c r="E2425" s="98">
        <v>6000</v>
      </c>
      <c r="F2425" s="105">
        <v>235</v>
      </c>
      <c r="G2425" s="97"/>
      <c r="H2425" s="640"/>
      <c r="I2425" s="1546">
        <f>+'2019 MILCON Inflation Table'!F8</f>
        <v>1.2987915407854984</v>
      </c>
      <c r="J2425" s="1547"/>
      <c r="K2425" s="99">
        <f>+F2425*I2425</f>
        <v>305.21601208459214</v>
      </c>
      <c r="L2425" s="97" t="s">
        <v>8</v>
      </c>
      <c r="M2425" s="1146"/>
      <c r="N2425" s="963"/>
      <c r="P2425" s="34"/>
      <c r="Q2425" s="34"/>
      <c r="R2425" s="34"/>
      <c r="S2425" s="44"/>
      <c r="T2425" s="44"/>
      <c r="U2425" s="34"/>
    </row>
    <row r="2426" spans="1:24" ht="30" customHeight="1">
      <c r="A2426" s="97"/>
      <c r="B2426" s="183"/>
      <c r="C2426" s="183"/>
      <c r="D2426" s="641"/>
      <c r="E2426" s="198"/>
      <c r="F2426" s="642"/>
      <c r="G2426" s="199"/>
      <c r="H2426" s="643"/>
      <c r="I2426" s="355"/>
      <c r="J2426" s="640" t="s">
        <v>311</v>
      </c>
      <c r="K2426" s="99">
        <f>AVERAGE(K2424:K2425)</f>
        <v>503.1080060422961</v>
      </c>
      <c r="L2426" s="97" t="s">
        <v>8</v>
      </c>
      <c r="M2426" s="1146"/>
      <c r="N2426" s="963"/>
      <c r="P2426" s="34"/>
      <c r="Q2426" s="34"/>
      <c r="R2426" s="34"/>
      <c r="S2426" s="44"/>
      <c r="T2426" s="44"/>
      <c r="U2426" s="34"/>
    </row>
    <row r="2427" spans="1:24" ht="30" customHeight="1" thickBot="1">
      <c r="A2427" s="20"/>
      <c r="B2427" s="1224"/>
      <c r="C2427" s="1224"/>
      <c r="D2427" s="1224"/>
      <c r="E2427" s="1225"/>
      <c r="F2427" s="1226"/>
      <c r="G2427" s="1226"/>
      <c r="H2427" s="1227"/>
      <c r="I2427" s="18"/>
      <c r="J2427" s="79" t="s">
        <v>289</v>
      </c>
      <c r="K2427" s="103">
        <f>+K2426</f>
        <v>503.1080060422961</v>
      </c>
      <c r="L2427" s="20" t="s">
        <v>8</v>
      </c>
      <c r="M2427" s="1146"/>
      <c r="N2427" s="963"/>
      <c r="P2427" s="34"/>
      <c r="Q2427" s="34"/>
      <c r="R2427" s="34"/>
      <c r="S2427" s="44"/>
      <c r="T2427" s="44"/>
      <c r="U2427" s="34"/>
    </row>
    <row r="2428" spans="1:24" ht="30" customHeight="1" thickBot="1">
      <c r="A2428" s="1165"/>
      <c r="B2428" s="1166"/>
      <c r="C2428" s="1166"/>
      <c r="D2428" s="1166"/>
      <c r="E2428" s="1166"/>
      <c r="F2428" s="1166"/>
      <c r="G2428" s="1166"/>
      <c r="H2428" s="1166"/>
      <c r="I2428" s="1166"/>
      <c r="J2428" s="1166"/>
      <c r="K2428" s="1166"/>
      <c r="L2428" s="1167"/>
      <c r="M2428" s="1146"/>
      <c r="N2428" s="963"/>
      <c r="P2428" s="34"/>
      <c r="Q2428" s="34"/>
      <c r="R2428" s="34"/>
      <c r="S2428" s="44"/>
      <c r="T2428" s="44"/>
      <c r="U2428" s="34"/>
    </row>
    <row r="2429" spans="1:24" ht="30" customHeight="1">
      <c r="A2429" s="27" t="s">
        <v>280</v>
      </c>
      <c r="B2429" s="82">
        <v>6900</v>
      </c>
      <c r="C2429" s="1228" t="s">
        <v>1469</v>
      </c>
      <c r="D2429" s="1229"/>
      <c r="E2429" s="74" t="s">
        <v>282</v>
      </c>
      <c r="F2429" s="75" t="s">
        <v>10</v>
      </c>
      <c r="G2429" s="91" t="s">
        <v>281</v>
      </c>
      <c r="H2429" s="145">
        <v>1</v>
      </c>
      <c r="I2429" s="74" t="s">
        <v>283</v>
      </c>
      <c r="J2429" s="1199" t="s">
        <v>2529</v>
      </c>
      <c r="K2429" s="1199"/>
      <c r="L2429" s="1200"/>
      <c r="M2429" s="1146"/>
      <c r="P2429" s="34"/>
      <c r="Q2429" s="34"/>
      <c r="R2429" s="34"/>
      <c r="S2429" s="44"/>
      <c r="T2429" s="44"/>
      <c r="U2429" s="34"/>
    </row>
    <row r="2430" spans="1:24" ht="30" customHeight="1">
      <c r="A2430" s="37" t="s">
        <v>304</v>
      </c>
      <c r="B2430" s="1201" t="s">
        <v>330</v>
      </c>
      <c r="C2430" s="1202"/>
      <c r="D2430" s="1203"/>
      <c r="E2430" s="150" t="s">
        <v>295</v>
      </c>
      <c r="F2430" s="150" t="s">
        <v>331</v>
      </c>
      <c r="G2430" s="1204" t="s">
        <v>332</v>
      </c>
      <c r="H2430" s="1205"/>
      <c r="I2430" s="77" t="s">
        <v>305</v>
      </c>
      <c r="J2430" s="77"/>
      <c r="K2430" s="1206" t="s">
        <v>297</v>
      </c>
      <c r="L2430" s="1207"/>
      <c r="M2430" s="1146"/>
      <c r="P2430" s="34"/>
      <c r="Q2430" s="34"/>
      <c r="R2430" s="34"/>
      <c r="S2430" s="44"/>
      <c r="T2430" s="44"/>
      <c r="U2430" s="34"/>
    </row>
    <row r="2431" spans="1:24" ht="30" customHeight="1">
      <c r="A2431" s="629" t="s">
        <v>473</v>
      </c>
      <c r="B2431" s="1176" t="s">
        <v>1470</v>
      </c>
      <c r="C2431" s="1177"/>
      <c r="D2431" s="1178"/>
      <c r="E2431" s="153">
        <f>+(3200+7000)/2</f>
        <v>5100</v>
      </c>
      <c r="F2431" s="20" t="s">
        <v>10</v>
      </c>
      <c r="G2431" s="206"/>
      <c r="H2431" s="20"/>
      <c r="I2431" s="20">
        <v>1.05</v>
      </c>
      <c r="J2431" s="20"/>
      <c r="K2431" s="153">
        <f>+E2431*I2431</f>
        <v>5355</v>
      </c>
      <c r="L2431" s="20" t="s">
        <v>10</v>
      </c>
      <c r="M2431" s="1146"/>
      <c r="P2431" s="34"/>
      <c r="Q2431" s="34"/>
      <c r="R2431" s="34"/>
      <c r="S2431" s="44"/>
      <c r="T2431" s="44"/>
      <c r="U2431" s="34"/>
    </row>
    <row r="2432" spans="1:24" ht="30" customHeight="1">
      <c r="A2432" s="629" t="s">
        <v>1471</v>
      </c>
      <c r="B2432" s="1176" t="s">
        <v>1472</v>
      </c>
      <c r="C2432" s="1177"/>
      <c r="D2432" s="1178"/>
      <c r="E2432" s="512">
        <f>+((99+139)/2)*75</f>
        <v>8925</v>
      </c>
      <c r="F2432" s="20" t="s">
        <v>10</v>
      </c>
      <c r="G2432" s="515"/>
      <c r="H2432" s="329"/>
      <c r="I2432" s="20">
        <v>1.05</v>
      </c>
      <c r="J2432" s="20"/>
      <c r="K2432" s="153">
        <f>+E2432*I2432</f>
        <v>9371.25</v>
      </c>
      <c r="L2432" s="20" t="s">
        <v>10</v>
      </c>
      <c r="M2432" s="1146"/>
      <c r="P2432" s="34"/>
      <c r="Q2432" s="34"/>
      <c r="R2432" s="34"/>
      <c r="S2432" s="44"/>
      <c r="T2432" s="44"/>
      <c r="U2432" s="34"/>
    </row>
    <row r="2433" spans="1:24" ht="30" customHeight="1">
      <c r="A2433" s="45"/>
      <c r="B2433" s="1224"/>
      <c r="C2433" s="1224"/>
      <c r="D2433" s="1224"/>
      <c r="E2433" s="153"/>
      <c r="F2433" s="20"/>
      <c r="G2433" s="395"/>
      <c r="H2433" s="329"/>
      <c r="I2433" s="20"/>
      <c r="J2433" s="20" t="s">
        <v>311</v>
      </c>
      <c r="K2433" s="153">
        <f>AVERAGE(K2431:K2432)</f>
        <v>7363.125</v>
      </c>
      <c r="L2433" s="20" t="s">
        <v>10</v>
      </c>
      <c r="M2433" s="1146"/>
      <c r="P2433" s="34"/>
      <c r="Q2433" s="34"/>
      <c r="R2433" s="34"/>
      <c r="S2433" s="44"/>
      <c r="T2433" s="44"/>
      <c r="U2433" s="34"/>
    </row>
    <row r="2434" spans="1:24" ht="30" customHeight="1">
      <c r="A2434" s="45"/>
      <c r="B2434" s="157"/>
      <c r="C2434" s="157"/>
      <c r="D2434" s="157"/>
      <c r="E2434" s="153"/>
      <c r="F2434" s="1174" t="s">
        <v>308</v>
      </c>
      <c r="G2434" s="1208" t="s">
        <v>309</v>
      </c>
      <c r="H2434" s="1208"/>
      <c r="I2434" s="1208"/>
      <c r="J2434" s="1208"/>
      <c r="K2434" s="123">
        <v>1.06</v>
      </c>
      <c r="L2434" s="10"/>
      <c r="M2434" s="1146"/>
      <c r="P2434" s="34"/>
      <c r="Q2434" s="34"/>
      <c r="R2434" s="34"/>
      <c r="S2434" s="44"/>
    </row>
    <row r="2435" spans="1:24" ht="30" customHeight="1">
      <c r="A2435" s="45"/>
      <c r="B2435" s="157"/>
      <c r="C2435" s="157"/>
      <c r="D2435" s="157"/>
      <c r="E2435" s="153"/>
      <c r="F2435" s="1175"/>
      <c r="G2435" s="1209" t="s">
        <v>310</v>
      </c>
      <c r="H2435" s="1209"/>
      <c r="I2435" s="1209"/>
      <c r="J2435" s="1209"/>
      <c r="K2435" s="123">
        <v>1.07</v>
      </c>
      <c r="L2435" s="10"/>
      <c r="M2435" s="1146"/>
      <c r="T2435" s="44"/>
      <c r="U2435" s="34"/>
    </row>
    <row r="2436" spans="1:24" ht="30" customHeight="1">
      <c r="A2436" s="45"/>
      <c r="B2436" s="20"/>
      <c r="C2436" s="18"/>
      <c r="D2436" s="18"/>
      <c r="E2436" s="18"/>
      <c r="F2436" s="18"/>
      <c r="G2436" s="18"/>
      <c r="H2436" s="18"/>
      <c r="I2436" s="18"/>
      <c r="J2436" s="20" t="s">
        <v>289</v>
      </c>
      <c r="K2436" s="23">
        <f>+K2433*K2434/K2435</f>
        <v>7294.3107476635514</v>
      </c>
      <c r="L2436" s="20" t="s">
        <v>10</v>
      </c>
      <c r="M2436" s="1146"/>
      <c r="P2436" s="34"/>
      <c r="Q2436" s="34"/>
      <c r="R2436" s="34"/>
      <c r="S2436" s="44"/>
      <c r="T2436" s="44"/>
      <c r="U2436" s="34"/>
    </row>
    <row r="2437" spans="1:24" ht="30" customHeight="1" thickBot="1">
      <c r="A2437" s="45"/>
      <c r="B2437" s="20"/>
      <c r="C2437" s="18"/>
      <c r="D2437" s="18"/>
      <c r="E2437" s="18"/>
      <c r="F2437" s="18"/>
      <c r="G2437" s="160" t="s">
        <v>312</v>
      </c>
      <c r="H2437" s="18"/>
      <c r="I2437" s="18"/>
      <c r="J2437" s="139">
        <f>VLOOKUP(B2429,'Mil Cost Premiums for RUCs'!$A$4:$R$266,18,FALSE)</f>
        <v>1.0209999999999999</v>
      </c>
      <c r="K2437" s="23">
        <f>+K2436*J2437</f>
        <v>7447.4912733644851</v>
      </c>
      <c r="L2437" s="20" t="s">
        <v>10</v>
      </c>
      <c r="M2437" s="1146"/>
      <c r="P2437" s="34"/>
      <c r="Q2437" s="34"/>
      <c r="R2437" s="34"/>
      <c r="S2437" s="44"/>
      <c r="T2437" s="44"/>
      <c r="U2437" s="34"/>
    </row>
    <row r="2438" spans="1:24" ht="30" customHeight="1" thickBot="1">
      <c r="A2438" s="1165"/>
      <c r="B2438" s="1166"/>
      <c r="C2438" s="1166"/>
      <c r="D2438" s="1166"/>
      <c r="E2438" s="1166"/>
      <c r="F2438" s="1166"/>
      <c r="G2438" s="1166"/>
      <c r="H2438" s="1166"/>
      <c r="I2438" s="1166"/>
      <c r="J2438" s="1166"/>
      <c r="K2438" s="1166"/>
      <c r="L2438" s="1167"/>
      <c r="M2438" s="1146"/>
      <c r="P2438" s="34"/>
      <c r="Q2438" s="34"/>
      <c r="R2438" s="34"/>
      <c r="S2438" s="44"/>
      <c r="T2438" s="84"/>
      <c r="U2438" s="39"/>
      <c r="V2438" s="38"/>
      <c r="W2438" s="38"/>
      <c r="X2438" s="38"/>
    </row>
    <row r="2439" spans="1:24" s="38" customFormat="1" ht="30" customHeight="1">
      <c r="A2439" s="81" t="s">
        <v>280</v>
      </c>
      <c r="B2439" s="82">
        <v>7110</v>
      </c>
      <c r="C2439" s="1228" t="s">
        <v>1473</v>
      </c>
      <c r="D2439" s="1229"/>
      <c r="E2439" s="74" t="s">
        <v>282</v>
      </c>
      <c r="F2439" s="75" t="s">
        <v>8</v>
      </c>
      <c r="G2439" s="58" t="s">
        <v>290</v>
      </c>
      <c r="H2439" s="104">
        <v>4163</v>
      </c>
      <c r="I2439" s="74" t="s">
        <v>283</v>
      </c>
      <c r="J2439" s="1199" t="s">
        <v>2569</v>
      </c>
      <c r="K2439" s="1230"/>
      <c r="L2439" s="1231"/>
      <c r="M2439" s="1146"/>
      <c r="N2439" s="193"/>
      <c r="O2439" s="1119"/>
      <c r="P2439" s="39"/>
      <c r="Q2439" s="39"/>
      <c r="R2439" s="39"/>
      <c r="S2439" s="84"/>
      <c r="T2439" s="34"/>
      <c r="U2439" s="44"/>
      <c r="V2439" s="44"/>
      <c r="W2439" s="34"/>
      <c r="X2439"/>
    </row>
    <row r="2440" spans="1:24" ht="30" customHeight="1">
      <c r="A2440" s="77" t="s">
        <v>293</v>
      </c>
      <c r="B2440" s="1232" t="s">
        <v>284</v>
      </c>
      <c r="C2440" s="1232"/>
      <c r="D2440" s="1232"/>
      <c r="E2440" s="36" t="s">
        <v>294</v>
      </c>
      <c r="F2440" s="96" t="s">
        <v>295</v>
      </c>
      <c r="G2440" s="77"/>
      <c r="H2440" s="77"/>
      <c r="I2440" s="1233" t="s">
        <v>426</v>
      </c>
      <c r="J2440" s="1234"/>
      <c r="K2440" s="1206" t="s">
        <v>297</v>
      </c>
      <c r="L2440" s="1207"/>
      <c r="M2440" s="1146"/>
      <c r="N2440" s="282"/>
      <c r="R2440" s="34"/>
      <c r="S2440" s="34"/>
      <c r="T2440" s="44"/>
      <c r="U2440" s="34"/>
    </row>
    <row r="2441" spans="1:24" ht="30" customHeight="1">
      <c r="A2441" s="20">
        <v>71111</v>
      </c>
      <c r="B2441" s="1179" t="s">
        <v>1474</v>
      </c>
      <c r="C2441" s="1180"/>
      <c r="D2441" s="1181"/>
      <c r="E2441" s="316">
        <v>3330</v>
      </c>
      <c r="F2441" s="153">
        <f>(224.91+255.71)/2</f>
        <v>240.31</v>
      </c>
      <c r="G2441" s="528"/>
      <c r="H2441" s="529"/>
      <c r="I2441" s="1397">
        <f>+'2019 MILCON Inflation Table'!F18</f>
        <v>0.94232233454704462</v>
      </c>
      <c r="J2441" s="1398"/>
      <c r="K2441" s="315">
        <f t="shared" ref="K2441:K2447" si="53">+F2441*I2441</f>
        <v>226.44948021500031</v>
      </c>
      <c r="L2441" s="20" t="s">
        <v>8</v>
      </c>
      <c r="M2441" s="1146"/>
      <c r="P2441" s="34"/>
      <c r="Q2441" s="34"/>
      <c r="R2441" s="34"/>
      <c r="S2441" s="44"/>
      <c r="T2441" s="44"/>
      <c r="U2441" s="34"/>
    </row>
    <row r="2442" spans="1:24" ht="30" customHeight="1">
      <c r="A2442" s="20">
        <v>71112</v>
      </c>
      <c r="B2442" s="1179" t="s">
        <v>1475</v>
      </c>
      <c r="C2442" s="1180"/>
      <c r="D2442" s="1181"/>
      <c r="E2442" s="316">
        <v>2520</v>
      </c>
      <c r="F2442" s="153">
        <f>(220.5+244.32)/2</f>
        <v>232.41</v>
      </c>
      <c r="G2442" s="528"/>
      <c r="H2442" s="529"/>
      <c r="I2442" s="1397">
        <f>+'2019 MILCON Inflation Table'!F18</f>
        <v>0.94232233454704462</v>
      </c>
      <c r="J2442" s="1398"/>
      <c r="K2442" s="315">
        <f t="shared" si="53"/>
        <v>219.00513377207864</v>
      </c>
      <c r="L2442" s="20" t="s">
        <v>8</v>
      </c>
      <c r="M2442" s="1146"/>
      <c r="N2442" s="963"/>
      <c r="P2442" s="34"/>
      <c r="Q2442" s="34"/>
      <c r="R2442" s="34"/>
      <c r="S2442" s="44"/>
      <c r="T2442" s="44"/>
      <c r="U2442" s="34"/>
    </row>
    <row r="2443" spans="1:24" ht="30" customHeight="1">
      <c r="A2443" s="20">
        <v>71113</v>
      </c>
      <c r="B2443" s="1176" t="s">
        <v>1476</v>
      </c>
      <c r="C2443" s="1177"/>
      <c r="D2443" s="1178"/>
      <c r="E2443" s="316">
        <v>2310</v>
      </c>
      <c r="F2443" s="153">
        <f>(208.2+237.76)/2</f>
        <v>222.98</v>
      </c>
      <c r="G2443" s="528"/>
      <c r="H2443" s="529"/>
      <c r="I2443" s="1397">
        <f>+'2019 MILCON Inflation Table'!F18</f>
        <v>0.94232233454704462</v>
      </c>
      <c r="J2443" s="1398"/>
      <c r="K2443" s="315">
        <f t="shared" si="53"/>
        <v>210.11903415730001</v>
      </c>
      <c r="L2443" s="20" t="s">
        <v>8</v>
      </c>
      <c r="M2443" s="1146"/>
      <c r="N2443" s="963"/>
      <c r="P2443" s="34"/>
      <c r="Q2443" s="34"/>
      <c r="R2443" s="34"/>
      <c r="S2443" s="44"/>
      <c r="T2443" s="44"/>
      <c r="U2443" s="34"/>
    </row>
    <row r="2444" spans="1:24" ht="30" customHeight="1">
      <c r="A2444" s="20">
        <v>71114</v>
      </c>
      <c r="B2444" s="1176" t="s">
        <v>1477</v>
      </c>
      <c r="C2444" s="1177"/>
      <c r="D2444" s="1178"/>
      <c r="E2444" s="316">
        <v>2150</v>
      </c>
      <c r="F2444" s="153">
        <f>+(188.29+216.55)/2</f>
        <v>202.42000000000002</v>
      </c>
      <c r="G2444" s="528"/>
      <c r="H2444" s="529"/>
      <c r="I2444" s="1397">
        <f>+'2019 MILCON Inflation Table'!F18</f>
        <v>0.94232233454704462</v>
      </c>
      <c r="J2444" s="1398"/>
      <c r="K2444" s="315">
        <f t="shared" si="53"/>
        <v>190.74488695901277</v>
      </c>
      <c r="L2444" s="20" t="s">
        <v>8</v>
      </c>
      <c r="M2444" s="1146"/>
      <c r="N2444" s="963"/>
      <c r="P2444" s="34"/>
      <c r="Q2444" s="34"/>
      <c r="R2444" s="34"/>
      <c r="S2444" s="44"/>
      <c r="T2444" s="44"/>
      <c r="U2444" s="34"/>
    </row>
    <row r="2445" spans="1:24" ht="30" customHeight="1">
      <c r="A2445" s="20">
        <v>71115</v>
      </c>
      <c r="B2445" s="1179" t="s">
        <v>1478</v>
      </c>
      <c r="C2445" s="1180"/>
      <c r="D2445" s="1181"/>
      <c r="E2445" s="316">
        <v>2020</v>
      </c>
      <c r="F2445" s="153">
        <f>(210.78+239.04)/2</f>
        <v>224.91</v>
      </c>
      <c r="G2445" s="528"/>
      <c r="H2445" s="529"/>
      <c r="I2445" s="1397">
        <f>+'2019 MILCON Inflation Table'!F18</f>
        <v>0.94232233454704462</v>
      </c>
      <c r="J2445" s="1398"/>
      <c r="K2445" s="315">
        <f t="shared" si="53"/>
        <v>211.93771626297581</v>
      </c>
      <c r="L2445" s="20" t="s">
        <v>8</v>
      </c>
      <c r="M2445" s="1146"/>
      <c r="P2445" s="34"/>
      <c r="Q2445" s="34"/>
      <c r="R2445" s="34"/>
      <c r="S2445" s="44"/>
      <c r="T2445" s="44"/>
      <c r="U2445" s="34"/>
    </row>
    <row r="2446" spans="1:24" ht="30" customHeight="1">
      <c r="A2446" s="20">
        <v>71115</v>
      </c>
      <c r="B2446" s="1179" t="s">
        <v>2742</v>
      </c>
      <c r="C2446" s="1180"/>
      <c r="D2446" s="1181"/>
      <c r="E2446" s="316">
        <v>1860</v>
      </c>
      <c r="F2446" s="153">
        <f>(191.5+219.77)/2</f>
        <v>205.63499999999999</v>
      </c>
      <c r="G2446" s="528"/>
      <c r="H2446" s="529"/>
      <c r="I2446" s="1397">
        <f>+'2019 MILCON Inflation Table'!F18</f>
        <v>0.94232233454704462</v>
      </c>
      <c r="J2446" s="1398"/>
      <c r="K2446" s="315">
        <f t="shared" si="53"/>
        <v>193.77445326458152</v>
      </c>
      <c r="L2446" s="20" t="s">
        <v>8</v>
      </c>
      <c r="M2446" s="1146"/>
      <c r="P2446" s="34"/>
      <c r="Q2446" s="34"/>
      <c r="R2446" s="34"/>
      <c r="S2446" s="44"/>
      <c r="T2446" s="44"/>
      <c r="U2446" s="34"/>
    </row>
    <row r="2447" spans="1:24" ht="30" customHeight="1">
      <c r="A2447" s="20">
        <v>71116</v>
      </c>
      <c r="B2447" s="1179" t="s">
        <v>1479</v>
      </c>
      <c r="C2447" s="1180"/>
      <c r="D2447" s="1181"/>
      <c r="E2447" s="316">
        <v>1950</v>
      </c>
      <c r="F2447" s="153">
        <f>(192.78+221.06)/2</f>
        <v>206.92000000000002</v>
      </c>
      <c r="G2447" s="528"/>
      <c r="H2447" s="529"/>
      <c r="I2447" s="1397">
        <f>+'2019 MILCON Inflation Table'!F18</f>
        <v>0.94232233454704462</v>
      </c>
      <c r="J2447" s="1398"/>
      <c r="K2447" s="315">
        <f t="shared" si="53"/>
        <v>194.9853374644745</v>
      </c>
      <c r="L2447" s="20" t="s">
        <v>8</v>
      </c>
      <c r="M2447" s="1146"/>
      <c r="P2447" s="34"/>
      <c r="Q2447" s="34"/>
      <c r="R2447" s="34"/>
      <c r="S2447" s="44"/>
    </row>
    <row r="2448" spans="1:24" ht="30" customHeight="1" thickBot="1">
      <c r="A2448" s="20"/>
      <c r="B2448" s="207"/>
      <c r="C2448" s="208"/>
      <c r="D2448" s="155" t="s">
        <v>2522</v>
      </c>
      <c r="E2448" s="203">
        <f>AVERAGE(E2441:E2447)</f>
        <v>2305.7142857142858</v>
      </c>
      <c r="F2448" s="204"/>
      <c r="G2448" s="204"/>
      <c r="H2448" s="205"/>
      <c r="I2448" s="46"/>
      <c r="J2448" s="37" t="s">
        <v>289</v>
      </c>
      <c r="K2448" s="103">
        <f>AVERAGE(K2441:K2447)</f>
        <v>206.71657744220335</v>
      </c>
      <c r="L2448" s="45" t="s">
        <v>8</v>
      </c>
      <c r="M2448" s="1146"/>
    </row>
    <row r="2449" spans="1:24" ht="30" customHeight="1" thickBot="1">
      <c r="A2449" s="1165"/>
      <c r="B2449" s="1166"/>
      <c r="C2449" s="1166"/>
      <c r="D2449" s="1166"/>
      <c r="E2449" s="1166"/>
      <c r="F2449" s="1166"/>
      <c r="G2449" s="1166"/>
      <c r="H2449" s="1166"/>
      <c r="I2449" s="1166"/>
      <c r="J2449" s="1166"/>
      <c r="K2449" s="1166"/>
      <c r="L2449" s="1167"/>
      <c r="M2449" s="1146"/>
      <c r="N2449" s="1103"/>
      <c r="O2449"/>
      <c r="P2449" s="159"/>
      <c r="Q2449" s="147"/>
      <c r="R2449" s="149"/>
    </row>
    <row r="2450" spans="1:24" ht="30" customHeight="1">
      <c r="A2450" s="27" t="s">
        <v>280</v>
      </c>
      <c r="B2450" s="82">
        <v>7120</v>
      </c>
      <c r="C2450" s="1197" t="s">
        <v>1480</v>
      </c>
      <c r="D2450" s="1198"/>
      <c r="E2450" s="74" t="s">
        <v>282</v>
      </c>
      <c r="F2450" s="75" t="s">
        <v>8</v>
      </c>
      <c r="G2450" s="58" t="s">
        <v>290</v>
      </c>
      <c r="H2450" s="145">
        <v>403</v>
      </c>
      <c r="I2450" s="74" t="s">
        <v>283</v>
      </c>
      <c r="J2450" s="1199" t="s">
        <v>2529</v>
      </c>
      <c r="K2450" s="1199"/>
      <c r="L2450" s="1200"/>
      <c r="M2450" s="1146"/>
      <c r="N2450" s="1103"/>
      <c r="O2450"/>
      <c r="P2450" s="159"/>
      <c r="Q2450" s="147"/>
      <c r="R2450" s="149"/>
    </row>
    <row r="2451" spans="1:24" ht="30" customHeight="1">
      <c r="A2451" s="37" t="s">
        <v>304</v>
      </c>
      <c r="B2451" s="1201" t="s">
        <v>330</v>
      </c>
      <c r="C2451" s="1202"/>
      <c r="D2451" s="1203"/>
      <c r="E2451" s="150" t="s">
        <v>295</v>
      </c>
      <c r="F2451" s="150" t="s">
        <v>331</v>
      </c>
      <c r="G2451" s="1204" t="s">
        <v>332</v>
      </c>
      <c r="H2451" s="1205"/>
      <c r="I2451" s="77" t="s">
        <v>305</v>
      </c>
      <c r="J2451" s="77"/>
      <c r="K2451" s="1206" t="s">
        <v>297</v>
      </c>
      <c r="L2451" s="1207"/>
      <c r="M2451" s="1146"/>
      <c r="N2451" s="1103"/>
      <c r="O2451"/>
      <c r="P2451" s="159"/>
      <c r="Q2451" s="147"/>
      <c r="R2451" s="149"/>
      <c r="T2451" s="38"/>
      <c r="U2451" s="38"/>
      <c r="V2451" s="38"/>
      <c r="W2451" s="38"/>
      <c r="X2451" s="38"/>
    </row>
    <row r="2452" spans="1:24" s="38" customFormat="1" ht="30" customHeight="1">
      <c r="A2452" s="45" t="s">
        <v>1481</v>
      </c>
      <c r="B2452" s="1267" t="s">
        <v>1482</v>
      </c>
      <c r="C2452" s="1267"/>
      <c r="D2452" s="1267"/>
      <c r="E2452" s="153">
        <v>54.5</v>
      </c>
      <c r="F2452" s="20" t="s">
        <v>8</v>
      </c>
      <c r="G2452" s="20"/>
      <c r="H2452" s="20"/>
      <c r="I2452" s="20">
        <v>1.01</v>
      </c>
      <c r="J2452" s="20"/>
      <c r="K2452" s="153">
        <f>+E2452*I2452</f>
        <v>55.045000000000002</v>
      </c>
      <c r="L2452" s="20" t="s">
        <v>8</v>
      </c>
      <c r="M2452" s="1146"/>
      <c r="N2452" s="1103"/>
      <c r="P2452" s="159"/>
      <c r="Q2452" s="147"/>
      <c r="R2452" s="149"/>
      <c r="T2452"/>
      <c r="U2452"/>
      <c r="V2452"/>
      <c r="W2452"/>
      <c r="X2452"/>
    </row>
    <row r="2453" spans="1:24" ht="30" customHeight="1">
      <c r="A2453" s="629"/>
      <c r="B2453" s="1267"/>
      <c r="C2453" s="1267"/>
      <c r="D2453" s="1267"/>
      <c r="E2453" s="153"/>
      <c r="F2453" s="20"/>
      <c r="G2453" s="206"/>
      <c r="H2453" s="20"/>
      <c r="I2453" s="20"/>
      <c r="J2453" s="20" t="s">
        <v>346</v>
      </c>
      <c r="K2453" s="153">
        <f>SUM(K2452:K2452)</f>
        <v>55.045000000000002</v>
      </c>
      <c r="L2453" s="20" t="s">
        <v>8</v>
      </c>
      <c r="M2453" s="1146"/>
      <c r="N2453" s="1103"/>
      <c r="O2453"/>
      <c r="P2453" s="159"/>
      <c r="Q2453" s="147"/>
      <c r="R2453" s="149"/>
    </row>
    <row r="2454" spans="1:24" ht="30" customHeight="1">
      <c r="A2454" s="45"/>
      <c r="B2454" s="157"/>
      <c r="C2454" s="157"/>
      <c r="D2454" s="157"/>
      <c r="E2454" s="153"/>
      <c r="F2454" s="1174" t="s">
        <v>308</v>
      </c>
      <c r="G2454" s="1208" t="s">
        <v>309</v>
      </c>
      <c r="H2454" s="1208"/>
      <c r="I2454" s="1208"/>
      <c r="J2454" s="1208"/>
      <c r="K2454" s="123">
        <v>1.06</v>
      </c>
      <c r="L2454" s="10"/>
      <c r="M2454" s="1146"/>
      <c r="N2454" s="1103"/>
      <c r="O2454"/>
      <c r="P2454" s="159"/>
      <c r="Q2454" s="147"/>
      <c r="R2454" s="149"/>
    </row>
    <row r="2455" spans="1:24" ht="30" customHeight="1">
      <c r="A2455" s="45"/>
      <c r="B2455" s="157"/>
      <c r="C2455" s="157"/>
      <c r="D2455" s="157"/>
      <c r="E2455" s="153"/>
      <c r="F2455" s="1175"/>
      <c r="G2455" s="1209" t="s">
        <v>310</v>
      </c>
      <c r="H2455" s="1209"/>
      <c r="I2455" s="1209"/>
      <c r="J2455" s="1209"/>
      <c r="K2455" s="123">
        <v>1.07</v>
      </c>
      <c r="L2455" s="10"/>
      <c r="M2455" s="1146"/>
      <c r="N2455" s="1103"/>
      <c r="O2455"/>
      <c r="P2455" s="159"/>
      <c r="Q2455" s="147"/>
      <c r="R2455" s="149"/>
    </row>
    <row r="2456" spans="1:24" ht="30" customHeight="1">
      <c r="A2456" s="45"/>
      <c r="B2456" s="20"/>
      <c r="C2456" s="18"/>
      <c r="D2456" s="18"/>
      <c r="E2456" s="18"/>
      <c r="F2456" s="18"/>
      <c r="G2456" s="18"/>
      <c r="H2456" s="18"/>
      <c r="I2456" s="18"/>
      <c r="J2456" s="20" t="s">
        <v>289</v>
      </c>
      <c r="K2456" s="23">
        <f>+K2453*K2454/K2455</f>
        <v>54.53056074766355</v>
      </c>
      <c r="L2456" s="20" t="s">
        <v>8</v>
      </c>
      <c r="M2456" s="1146"/>
      <c r="N2456" s="1103"/>
      <c r="O2456"/>
      <c r="P2456" s="159"/>
      <c r="Q2456" s="147"/>
      <c r="R2456" s="149"/>
    </row>
    <row r="2457" spans="1:24" ht="30" customHeight="1" thickBot="1">
      <c r="A2457" s="45"/>
      <c r="B2457" s="1676" t="s">
        <v>2743</v>
      </c>
      <c r="C2457" s="1677"/>
      <c r="D2457" s="1678"/>
      <c r="E2457" s="18"/>
      <c r="F2457" s="18"/>
      <c r="G2457" s="160" t="s">
        <v>312</v>
      </c>
      <c r="H2457" s="18"/>
      <c r="I2457" s="18"/>
      <c r="J2457" s="139">
        <f>VLOOKUP(B2450,'Mil Cost Premiums for RUCs'!$A$4:$R$266,18,FALSE)</f>
        <v>1.0209999999999999</v>
      </c>
      <c r="K2457" s="23">
        <f>+K2456*J2457</f>
        <v>55.675702523364478</v>
      </c>
      <c r="L2457" s="20" t="s">
        <v>8</v>
      </c>
      <c r="M2457" s="1146"/>
      <c r="N2457" s="1103"/>
      <c r="O2457"/>
      <c r="P2457" s="159"/>
      <c r="Q2457" s="147"/>
      <c r="R2457" s="149"/>
    </row>
    <row r="2458" spans="1:24" ht="30" customHeight="1" thickBot="1">
      <c r="A2458" s="1165"/>
      <c r="B2458" s="1166"/>
      <c r="C2458" s="1166"/>
      <c r="D2458" s="1166"/>
      <c r="E2458" s="1166"/>
      <c r="F2458" s="1166"/>
      <c r="G2458" s="1166"/>
      <c r="H2458" s="1166"/>
      <c r="I2458" s="1166"/>
      <c r="J2458" s="1166"/>
      <c r="K2458" s="1166"/>
      <c r="L2458" s="1167"/>
      <c r="M2458" s="1146"/>
      <c r="N2458" s="1103"/>
      <c r="O2458"/>
      <c r="P2458" s="159"/>
      <c r="Q2458" s="147"/>
      <c r="R2458" s="149"/>
    </row>
    <row r="2459" spans="1:24" ht="30" customHeight="1">
      <c r="A2459" s="27" t="s">
        <v>280</v>
      </c>
      <c r="B2459" s="82">
        <v>7130</v>
      </c>
      <c r="C2459" s="1197" t="s">
        <v>1483</v>
      </c>
      <c r="D2459" s="1198"/>
      <c r="E2459" s="74" t="s">
        <v>282</v>
      </c>
      <c r="F2459" s="75" t="s">
        <v>3</v>
      </c>
      <c r="G2459" s="181" t="s">
        <v>281</v>
      </c>
      <c r="H2459" s="215">
        <v>3200</v>
      </c>
      <c r="I2459" s="74" t="s">
        <v>283</v>
      </c>
      <c r="J2459" s="1199" t="s">
        <v>2529</v>
      </c>
      <c r="K2459" s="1199"/>
      <c r="L2459" s="1200"/>
      <c r="M2459" s="1146"/>
      <c r="N2459" s="1103"/>
      <c r="O2459"/>
      <c r="P2459" s="159"/>
      <c r="Q2459" s="147"/>
      <c r="R2459" s="149"/>
    </row>
    <row r="2460" spans="1:24" ht="30" customHeight="1">
      <c r="A2460" s="37" t="s">
        <v>304</v>
      </c>
      <c r="B2460" s="1201" t="s">
        <v>330</v>
      </c>
      <c r="C2460" s="1202"/>
      <c r="D2460" s="1203"/>
      <c r="E2460" s="150" t="s">
        <v>295</v>
      </c>
      <c r="F2460" s="150" t="s">
        <v>331</v>
      </c>
      <c r="G2460" s="1204" t="s">
        <v>332</v>
      </c>
      <c r="H2460" s="1205"/>
      <c r="I2460" s="77" t="s">
        <v>305</v>
      </c>
      <c r="J2460" s="77" t="s">
        <v>2523</v>
      </c>
      <c r="K2460" s="1206" t="s">
        <v>297</v>
      </c>
      <c r="L2460" s="1207"/>
      <c r="M2460" s="1146"/>
      <c r="N2460" s="282"/>
      <c r="O2460" s="34"/>
      <c r="P2460" s="283"/>
      <c r="Q2460" s="282"/>
      <c r="R2460" s="284"/>
    </row>
    <row r="2461" spans="1:24" ht="30" customHeight="1">
      <c r="A2461" s="45" t="s">
        <v>1484</v>
      </c>
      <c r="B2461" s="1176" t="s">
        <v>1485</v>
      </c>
      <c r="C2461" s="1177"/>
      <c r="D2461" s="1178"/>
      <c r="E2461" s="153">
        <v>11000</v>
      </c>
      <c r="F2461" s="22" t="s">
        <v>10</v>
      </c>
      <c r="G2461" s="521">
        <v>356</v>
      </c>
      <c r="H2461" s="333" t="s">
        <v>1486</v>
      </c>
      <c r="I2461" s="20">
        <v>1.01</v>
      </c>
      <c r="J2461" s="326">
        <v>1.1000000000000001</v>
      </c>
      <c r="K2461" s="153">
        <f>+E2461/G2461*I2461*J2461</f>
        <v>34.328651685393261</v>
      </c>
      <c r="L2461" s="20" t="s">
        <v>3</v>
      </c>
      <c r="M2461" s="1146"/>
      <c r="N2461" s="282"/>
      <c r="O2461" s="34"/>
      <c r="P2461" s="283"/>
      <c r="Q2461" s="282"/>
      <c r="R2461" s="284"/>
    </row>
    <row r="2462" spans="1:24" ht="30" customHeight="1">
      <c r="A2462" s="45"/>
      <c r="B2462" s="1224" t="s">
        <v>1487</v>
      </c>
      <c r="C2462" s="1224"/>
      <c r="D2462" s="1224"/>
      <c r="E2462" s="153"/>
      <c r="F2462" s="20"/>
      <c r="G2462" s="20"/>
      <c r="H2462" s="20"/>
      <c r="I2462" s="20"/>
      <c r="J2462" s="20"/>
      <c r="K2462" s="153"/>
      <c r="L2462" s="20"/>
      <c r="M2462" s="1146"/>
      <c r="N2462" s="1103"/>
      <c r="O2462"/>
      <c r="P2462" s="159"/>
      <c r="Q2462" s="147"/>
      <c r="R2462" s="149"/>
      <c r="T2462" s="32"/>
      <c r="U2462" s="34"/>
    </row>
    <row r="2463" spans="1:24" ht="30" customHeight="1">
      <c r="A2463" s="45"/>
      <c r="B2463" s="157"/>
      <c r="C2463" s="157"/>
      <c r="D2463" s="157"/>
      <c r="E2463" s="153"/>
      <c r="F2463" s="1174" t="s">
        <v>308</v>
      </c>
      <c r="G2463" s="1208" t="s">
        <v>309</v>
      </c>
      <c r="H2463" s="1208"/>
      <c r="I2463" s="1208"/>
      <c r="J2463" s="1208"/>
      <c r="K2463" s="123">
        <v>1.06</v>
      </c>
      <c r="L2463" s="10"/>
      <c r="M2463" s="1146"/>
      <c r="N2463" s="125"/>
      <c r="O2463" s="33"/>
      <c r="P2463" s="32"/>
      <c r="Q2463" s="32"/>
      <c r="R2463" s="32"/>
      <c r="S2463" s="32"/>
      <c r="U2463" s="34"/>
    </row>
    <row r="2464" spans="1:24" ht="30" customHeight="1">
      <c r="A2464" s="45"/>
      <c r="B2464" s="157"/>
      <c r="C2464" s="157"/>
      <c r="D2464" s="157"/>
      <c r="E2464" s="153"/>
      <c r="F2464" s="1175"/>
      <c r="G2464" s="1209" t="s">
        <v>310</v>
      </c>
      <c r="H2464" s="1209"/>
      <c r="I2464" s="1209"/>
      <c r="J2464" s="1209"/>
      <c r="K2464" s="123">
        <v>1.07</v>
      </c>
      <c r="L2464" s="10"/>
      <c r="M2464" s="1146"/>
      <c r="U2464" s="32"/>
      <c r="V2464" s="32"/>
      <c r="W2464" s="32"/>
      <c r="X2464" s="32"/>
    </row>
    <row r="2465" spans="1:24" s="32" customFormat="1" ht="30" customHeight="1">
      <c r="A2465" s="629"/>
      <c r="B2465" s="20"/>
      <c r="C2465" s="18"/>
      <c r="D2465" s="18"/>
      <c r="E2465" s="153"/>
      <c r="F2465" s="20"/>
      <c r="G2465" s="206"/>
      <c r="H2465" s="20"/>
      <c r="I2465" s="20"/>
      <c r="J2465" s="20" t="s">
        <v>289</v>
      </c>
      <c r="K2465" s="23">
        <f>+K2461*K2463/K2464</f>
        <v>34.007823164969025</v>
      </c>
      <c r="L2465" s="20" t="s">
        <v>3</v>
      </c>
      <c r="M2465" s="1146"/>
      <c r="N2465" s="25"/>
      <c r="O2465" s="1119"/>
      <c r="P2465"/>
      <c r="Q2465"/>
      <c r="R2465"/>
      <c r="S2465"/>
      <c r="T2465" s="84"/>
      <c r="U2465" s="38"/>
      <c r="V2465" s="38"/>
      <c r="W2465" s="38"/>
      <c r="X2465" s="38"/>
    </row>
    <row r="2466" spans="1:24" s="38" customFormat="1" ht="30" customHeight="1" thickBot="1">
      <c r="A2466" s="45"/>
      <c r="B2466" s="20"/>
      <c r="C2466" s="18"/>
      <c r="D2466" s="18"/>
      <c r="E2466" s="18"/>
      <c r="F2466" s="18"/>
      <c r="G2466" s="160" t="s">
        <v>312</v>
      </c>
      <c r="H2466" s="18"/>
      <c r="I2466" s="18"/>
      <c r="J2466" s="139">
        <f>VLOOKUP(B2459,'Mil Cost Premiums for RUCs'!$A$4:$R$266,18,FALSE)</f>
        <v>1.0209999999999999</v>
      </c>
      <c r="K2466" s="23">
        <f>+K2465*J2466</f>
        <v>34.721987451433371</v>
      </c>
      <c r="L2466" s="20" t="s">
        <v>3</v>
      </c>
      <c r="M2466" s="1146"/>
      <c r="N2466" s="193"/>
      <c r="O2466" s="1119"/>
      <c r="P2466" s="39"/>
      <c r="Q2466" s="39"/>
      <c r="R2466" s="39"/>
      <c r="S2466" s="84"/>
      <c r="T2466" s="44"/>
      <c r="U2466"/>
      <c r="V2466"/>
      <c r="W2466"/>
      <c r="X2466"/>
    </row>
    <row r="2467" spans="1:24" ht="30" customHeight="1" thickBot="1">
      <c r="A2467" s="1165"/>
      <c r="B2467" s="1166"/>
      <c r="C2467" s="1166"/>
      <c r="D2467" s="1166"/>
      <c r="E2467" s="1166"/>
      <c r="F2467" s="1166"/>
      <c r="G2467" s="1166"/>
      <c r="H2467" s="1166"/>
      <c r="I2467" s="1166"/>
      <c r="J2467" s="1166"/>
      <c r="K2467" s="1166"/>
      <c r="L2467" s="1167"/>
      <c r="M2467" s="1146"/>
      <c r="P2467" s="34"/>
      <c r="Q2467" s="34"/>
      <c r="R2467" s="34"/>
      <c r="S2467" s="44"/>
      <c r="T2467" s="44"/>
      <c r="U2467" s="34"/>
    </row>
    <row r="2468" spans="1:24" ht="30" customHeight="1">
      <c r="A2468" s="27" t="s">
        <v>280</v>
      </c>
      <c r="B2468" s="82">
        <v>7141</v>
      </c>
      <c r="C2468" s="1197" t="s">
        <v>1488</v>
      </c>
      <c r="D2468" s="1198"/>
      <c r="E2468" s="644" t="s">
        <v>282</v>
      </c>
      <c r="F2468" s="645" t="s">
        <v>8</v>
      </c>
      <c r="G2468" s="58" t="s">
        <v>290</v>
      </c>
      <c r="H2468" s="646">
        <v>740</v>
      </c>
      <c r="I2468" s="74" t="s">
        <v>283</v>
      </c>
      <c r="J2468" s="1199" t="s">
        <v>2529</v>
      </c>
      <c r="K2468" s="1199"/>
      <c r="L2468" s="1200"/>
      <c r="M2468" s="1146"/>
      <c r="P2468" s="34"/>
      <c r="Q2468" s="34"/>
      <c r="R2468" s="34"/>
      <c r="S2468" s="44"/>
      <c r="U2468" s="34"/>
    </row>
    <row r="2469" spans="1:24" ht="30" customHeight="1">
      <c r="A2469" s="37" t="s">
        <v>304</v>
      </c>
      <c r="B2469" s="1201" t="s">
        <v>330</v>
      </c>
      <c r="C2469" s="1202"/>
      <c r="D2469" s="1203"/>
      <c r="E2469" s="150" t="s">
        <v>295</v>
      </c>
      <c r="F2469" s="150" t="s">
        <v>331</v>
      </c>
      <c r="G2469" s="1204" t="s">
        <v>332</v>
      </c>
      <c r="H2469" s="1205"/>
      <c r="I2469" s="77" t="s">
        <v>305</v>
      </c>
      <c r="J2469" s="77"/>
      <c r="K2469" s="1206" t="s">
        <v>297</v>
      </c>
      <c r="L2469" s="1207"/>
      <c r="M2469" s="1146"/>
      <c r="U2469" s="34"/>
    </row>
    <row r="2470" spans="1:24" ht="30" customHeight="1">
      <c r="A2470" s="629" t="s">
        <v>1489</v>
      </c>
      <c r="B2470" s="1176" t="s">
        <v>1490</v>
      </c>
      <c r="C2470" s="1177"/>
      <c r="D2470" s="1178"/>
      <c r="E2470" s="153">
        <v>33.64</v>
      </c>
      <c r="F2470" s="20" t="s">
        <v>8</v>
      </c>
      <c r="G2470" s="206"/>
      <c r="H2470" s="20"/>
      <c r="I2470" s="20">
        <v>1.02</v>
      </c>
      <c r="J2470" s="20"/>
      <c r="K2470" s="153">
        <f>+E2470*I2470</f>
        <v>34.312800000000003</v>
      </c>
      <c r="L2470" s="20" t="s">
        <v>8</v>
      </c>
      <c r="M2470" s="1146"/>
      <c r="T2470" s="84"/>
      <c r="U2470" s="38"/>
      <c r="V2470" s="38"/>
      <c r="W2470" s="38"/>
      <c r="X2470" s="38"/>
    </row>
    <row r="2471" spans="1:24" s="38" customFormat="1" ht="30" customHeight="1">
      <c r="A2471" s="45"/>
      <c r="B2471" s="157"/>
      <c r="C2471" s="157"/>
      <c r="D2471" s="157"/>
      <c r="E2471" s="153"/>
      <c r="F2471" s="1174" t="s">
        <v>308</v>
      </c>
      <c r="G2471" s="1208" t="s">
        <v>309</v>
      </c>
      <c r="H2471" s="1208"/>
      <c r="I2471" s="1208"/>
      <c r="J2471" s="1208"/>
      <c r="K2471" s="123">
        <v>1.06</v>
      </c>
      <c r="L2471" s="10"/>
      <c r="M2471" s="1146"/>
      <c r="N2471" s="193"/>
      <c r="O2471" s="1119"/>
      <c r="P2471" s="39"/>
      <c r="Q2471" s="39"/>
      <c r="R2471" s="39"/>
      <c r="S2471" s="84"/>
      <c r="T2471" s="44"/>
      <c r="U2471"/>
      <c r="V2471"/>
      <c r="W2471"/>
      <c r="X2471"/>
    </row>
    <row r="2472" spans="1:24" ht="30" customHeight="1">
      <c r="A2472" s="45"/>
      <c r="B2472" s="157"/>
      <c r="C2472" s="157"/>
      <c r="D2472" s="157"/>
      <c r="E2472" s="153"/>
      <c r="F2472" s="1175"/>
      <c r="G2472" s="1209" t="s">
        <v>310</v>
      </c>
      <c r="H2472" s="1209"/>
      <c r="I2472" s="1209"/>
      <c r="J2472" s="1209"/>
      <c r="K2472" s="123">
        <v>1.07</v>
      </c>
      <c r="L2472" s="10"/>
      <c r="M2472" s="1146"/>
      <c r="P2472" s="34"/>
      <c r="Q2472" s="34"/>
      <c r="R2472" s="34"/>
      <c r="S2472" s="44"/>
    </row>
    <row r="2473" spans="1:24" ht="30" customHeight="1">
      <c r="A2473" s="45"/>
      <c r="B2473" s="20"/>
      <c r="C2473" s="18"/>
      <c r="D2473" s="18"/>
      <c r="E2473" s="18"/>
      <c r="F2473" s="18"/>
      <c r="G2473" s="18"/>
      <c r="H2473" s="18"/>
      <c r="I2473" s="18"/>
      <c r="J2473" s="20" t="s">
        <v>289</v>
      </c>
      <c r="K2473" s="23">
        <f>+K2470*K2471/K2472</f>
        <v>33.992119626168225</v>
      </c>
      <c r="L2473" s="20" t="s">
        <v>8</v>
      </c>
      <c r="M2473" s="1146"/>
      <c r="N2473" s="1103"/>
      <c r="O2473" s="34"/>
      <c r="P2473" s="159"/>
      <c r="Q2473" s="147"/>
      <c r="R2473" s="149"/>
    </row>
    <row r="2474" spans="1:24" ht="30" customHeight="1" thickBot="1">
      <c r="A2474" s="45"/>
      <c r="B2474" s="20"/>
      <c r="C2474" s="18"/>
      <c r="D2474" s="18"/>
      <c r="E2474" s="18"/>
      <c r="F2474" s="18"/>
      <c r="G2474" s="160" t="s">
        <v>312</v>
      </c>
      <c r="H2474" s="18"/>
      <c r="I2474" s="18"/>
      <c r="J2474" s="139">
        <f>VLOOKUP(B2468,'Mil Cost Premiums for RUCs'!$A$4:$R$266,18,FALSE)</f>
        <v>1.0905505199999999</v>
      </c>
      <c r="K2474" s="23">
        <f>+K2473*J2474</f>
        <v>37.070123734219962</v>
      </c>
      <c r="L2474" s="20" t="s">
        <v>8</v>
      </c>
      <c r="M2474" s="1146"/>
      <c r="N2474" s="1103"/>
      <c r="O2474" s="514"/>
      <c r="P2474" s="159"/>
      <c r="Q2474" s="147"/>
      <c r="R2474" s="149"/>
    </row>
    <row r="2475" spans="1:24" ht="30" customHeight="1" thickBot="1">
      <c r="A2475" s="1165"/>
      <c r="B2475" s="1166"/>
      <c r="C2475" s="1166"/>
      <c r="D2475" s="1166"/>
      <c r="E2475" s="1166"/>
      <c r="F2475" s="1166"/>
      <c r="G2475" s="1166"/>
      <c r="H2475" s="1166"/>
      <c r="I2475" s="1166"/>
      <c r="J2475" s="1166"/>
      <c r="K2475" s="1166"/>
      <c r="L2475" s="1167"/>
      <c r="M2475" s="1146"/>
      <c r="N2475" s="1103"/>
      <c r="O2475" s="599"/>
      <c r="P2475" s="159"/>
      <c r="Q2475" s="147"/>
      <c r="R2475" s="149"/>
      <c r="T2475" s="38"/>
      <c r="U2475" s="38"/>
      <c r="V2475" s="38"/>
      <c r="W2475" s="38"/>
      <c r="X2475" s="38"/>
    </row>
    <row r="2476" spans="1:24" s="38" customFormat="1" ht="30" customHeight="1">
      <c r="A2476" s="27" t="s">
        <v>280</v>
      </c>
      <c r="B2476" s="82">
        <v>7142</v>
      </c>
      <c r="C2476" s="1197" t="s">
        <v>1491</v>
      </c>
      <c r="D2476" s="1198"/>
      <c r="E2476" s="74" t="s">
        <v>282</v>
      </c>
      <c r="F2476" s="75" t="s">
        <v>8</v>
      </c>
      <c r="G2476" s="58" t="s">
        <v>290</v>
      </c>
      <c r="H2476" s="145">
        <v>342</v>
      </c>
      <c r="I2476" s="74" t="s">
        <v>283</v>
      </c>
      <c r="J2476" s="1199" t="s">
        <v>2529</v>
      </c>
      <c r="K2476" s="1199"/>
      <c r="L2476" s="1200"/>
      <c r="M2476" s="1146"/>
      <c r="N2476" s="1103"/>
      <c r="O2476" s="39"/>
      <c r="P2476" s="159"/>
      <c r="Q2476" s="147"/>
      <c r="R2476" s="149"/>
      <c r="T2476"/>
      <c r="U2476"/>
      <c r="V2476"/>
      <c r="W2476"/>
      <c r="X2476"/>
    </row>
    <row r="2477" spans="1:24" ht="30" customHeight="1">
      <c r="A2477" s="37" t="s">
        <v>304</v>
      </c>
      <c r="B2477" s="1201" t="s">
        <v>330</v>
      </c>
      <c r="C2477" s="1202"/>
      <c r="D2477" s="1203"/>
      <c r="E2477" s="150" t="s">
        <v>295</v>
      </c>
      <c r="F2477" s="150" t="s">
        <v>331</v>
      </c>
      <c r="G2477" s="1204" t="s">
        <v>332</v>
      </c>
      <c r="H2477" s="1205"/>
      <c r="I2477" s="77" t="s">
        <v>305</v>
      </c>
      <c r="J2477" s="77"/>
      <c r="K2477" s="1206" t="s">
        <v>297</v>
      </c>
      <c r="L2477" s="1207"/>
      <c r="M2477" s="1146"/>
      <c r="N2477" s="1103"/>
      <c r="O2477" s="34"/>
      <c r="P2477" s="159"/>
      <c r="Q2477" s="147"/>
      <c r="R2477" s="149"/>
    </row>
    <row r="2478" spans="1:24" ht="30" customHeight="1">
      <c r="A2478" s="45" t="s">
        <v>1492</v>
      </c>
      <c r="B2478" s="1179" t="s">
        <v>1493</v>
      </c>
      <c r="C2478" s="1180"/>
      <c r="D2478" s="1181"/>
      <c r="E2478" s="153">
        <f>+(12.65+22.85)/2</f>
        <v>17.75</v>
      </c>
      <c r="F2478" s="22" t="s">
        <v>8</v>
      </c>
      <c r="G2478" s="521"/>
      <c r="H2478" s="333"/>
      <c r="I2478" s="20">
        <v>1.01</v>
      </c>
      <c r="J2478" s="20"/>
      <c r="K2478" s="153">
        <f>+E2478*I2478</f>
        <v>17.927499999999998</v>
      </c>
      <c r="L2478" s="20" t="s">
        <v>8</v>
      </c>
      <c r="M2478" s="1146"/>
      <c r="N2478" s="1103"/>
      <c r="O2478" s="34"/>
      <c r="P2478" s="159"/>
      <c r="Q2478" s="147"/>
      <c r="R2478" s="149"/>
    </row>
    <row r="2479" spans="1:24" ht="30" customHeight="1">
      <c r="A2479" s="45" t="s">
        <v>1492</v>
      </c>
      <c r="B2479" s="1179" t="s">
        <v>1494</v>
      </c>
      <c r="C2479" s="1180"/>
      <c r="D2479" s="1180"/>
      <c r="E2479" s="153">
        <f>+(5.44+9.32)/2</f>
        <v>7.3800000000000008</v>
      </c>
      <c r="F2479" s="317" t="s">
        <v>8</v>
      </c>
      <c r="G2479" s="521"/>
      <c r="H2479" s="333"/>
      <c r="I2479" s="20">
        <v>1.01</v>
      </c>
      <c r="J2479" s="20"/>
      <c r="K2479" s="153">
        <f>+E2479*I2479</f>
        <v>7.4538000000000011</v>
      </c>
      <c r="L2479" s="20" t="s">
        <v>8</v>
      </c>
      <c r="M2479" s="1146"/>
      <c r="N2479" s="635"/>
      <c r="O2479"/>
      <c r="P2479" s="159"/>
      <c r="Q2479" s="147"/>
      <c r="R2479" s="149"/>
    </row>
    <row r="2480" spans="1:24" ht="30" customHeight="1">
      <c r="A2480" s="629"/>
      <c r="B2480" s="1267"/>
      <c r="C2480" s="1267"/>
      <c r="D2480" s="1267"/>
      <c r="E2480" s="153"/>
      <c r="F2480" s="20"/>
      <c r="G2480" s="206"/>
      <c r="H2480" s="20"/>
      <c r="I2480" s="20"/>
      <c r="J2480" s="20" t="s">
        <v>346</v>
      </c>
      <c r="K2480" s="153">
        <f>SUM(K2478:K2479)</f>
        <v>25.3813</v>
      </c>
      <c r="L2480" s="20" t="s">
        <v>8</v>
      </c>
      <c r="M2480" s="1146"/>
      <c r="N2480" s="1103"/>
      <c r="O2480"/>
      <c r="P2480" s="159"/>
      <c r="Q2480" s="147"/>
      <c r="R2480" s="149"/>
    </row>
    <row r="2481" spans="1:24" ht="30" customHeight="1">
      <c r="A2481" s="45"/>
      <c r="B2481" s="157"/>
      <c r="C2481" s="157"/>
      <c r="D2481" s="157"/>
      <c r="E2481" s="153"/>
      <c r="F2481" s="1174" t="s">
        <v>308</v>
      </c>
      <c r="G2481" s="1208" t="s">
        <v>309</v>
      </c>
      <c r="H2481" s="1208"/>
      <c r="I2481" s="1208"/>
      <c r="J2481" s="1208"/>
      <c r="K2481" s="123">
        <v>1.06</v>
      </c>
      <c r="L2481" s="10"/>
      <c r="M2481" s="1146"/>
      <c r="N2481" s="1103"/>
      <c r="O2481"/>
      <c r="P2481" s="159"/>
      <c r="Q2481" s="147"/>
      <c r="R2481" s="149"/>
    </row>
    <row r="2482" spans="1:24" ht="30" customHeight="1">
      <c r="A2482" s="45"/>
      <c r="B2482" s="157"/>
      <c r="C2482" s="157"/>
      <c r="D2482" s="157"/>
      <c r="E2482" s="153"/>
      <c r="F2482" s="1175"/>
      <c r="G2482" s="1209" t="s">
        <v>310</v>
      </c>
      <c r="H2482" s="1209"/>
      <c r="I2482" s="1209"/>
      <c r="J2482" s="1209"/>
      <c r="K2482" s="123">
        <v>1.07</v>
      </c>
      <c r="L2482" s="10"/>
      <c r="M2482" s="1146"/>
      <c r="N2482" s="1103"/>
      <c r="O2482"/>
      <c r="P2482" s="159"/>
      <c r="Q2482" s="147"/>
      <c r="R2482" s="149"/>
    </row>
    <row r="2483" spans="1:24" ht="30" customHeight="1">
      <c r="A2483" s="45"/>
      <c r="B2483" s="20"/>
      <c r="C2483" s="18"/>
      <c r="D2483" s="18"/>
      <c r="E2483" s="18"/>
      <c r="F2483" s="18"/>
      <c r="G2483" s="18"/>
      <c r="H2483" s="18"/>
      <c r="I2483" s="18"/>
      <c r="J2483" s="18" t="s">
        <v>289</v>
      </c>
      <c r="K2483" s="23">
        <f>+K2480*K2481/K2482</f>
        <v>25.144091588785045</v>
      </c>
      <c r="L2483" s="20" t="s">
        <v>8</v>
      </c>
      <c r="M2483" s="1146"/>
      <c r="N2483" s="282"/>
      <c r="O2483" s="34"/>
      <c r="P2483" s="283"/>
      <c r="Q2483" s="282"/>
      <c r="R2483" s="284"/>
    </row>
    <row r="2484" spans="1:24" ht="30" customHeight="1" thickBot="1">
      <c r="A2484" s="45"/>
      <c r="B2484" s="20"/>
      <c r="C2484" s="18"/>
      <c r="D2484" s="18"/>
      <c r="E2484" s="18"/>
      <c r="F2484" s="18"/>
      <c r="G2484" s="160" t="s">
        <v>312</v>
      </c>
      <c r="H2484" s="18"/>
      <c r="I2484" s="18"/>
      <c r="J2484" s="139">
        <f>VLOOKUP(B2476,'Mil Cost Premiums for RUCs'!$A$4:$R$266,18,FALSE)</f>
        <v>1.0209999999999999</v>
      </c>
      <c r="K2484" s="23">
        <f>+K2483*J2484</f>
        <v>25.67211751214953</v>
      </c>
      <c r="L2484" s="20" t="s">
        <v>8</v>
      </c>
      <c r="M2484" s="1146"/>
      <c r="N2484" s="282"/>
      <c r="O2484" s="34"/>
      <c r="P2484" s="283"/>
      <c r="Q2484" s="282"/>
      <c r="R2484" s="284"/>
    </row>
    <row r="2485" spans="1:24" ht="30" customHeight="1" thickBot="1">
      <c r="A2485" s="1165"/>
      <c r="B2485" s="1166"/>
      <c r="C2485" s="1166"/>
      <c r="D2485" s="1166"/>
      <c r="E2485" s="1166"/>
      <c r="F2485" s="1166"/>
      <c r="G2485" s="1166"/>
      <c r="H2485" s="1166"/>
      <c r="I2485" s="1166"/>
      <c r="J2485" s="1166"/>
      <c r="K2485" s="1166"/>
      <c r="L2485" s="1167"/>
      <c r="M2485" s="1146"/>
      <c r="N2485" s="1103"/>
      <c r="O2485"/>
      <c r="P2485" s="159"/>
      <c r="Q2485" s="147"/>
      <c r="R2485" s="149"/>
      <c r="T2485" s="44"/>
      <c r="U2485" s="34"/>
    </row>
    <row r="2486" spans="1:24" ht="30" customHeight="1">
      <c r="A2486" s="27" t="s">
        <v>280</v>
      </c>
      <c r="B2486" s="82">
        <v>7143</v>
      </c>
      <c r="C2486" s="1228" t="s">
        <v>1496</v>
      </c>
      <c r="D2486" s="1229"/>
      <c r="E2486" s="74" t="s">
        <v>282</v>
      </c>
      <c r="F2486" s="75" t="s">
        <v>8</v>
      </c>
      <c r="G2486" s="58" t="s">
        <v>290</v>
      </c>
      <c r="H2486" s="145">
        <v>653</v>
      </c>
      <c r="I2486" s="74" t="s">
        <v>283</v>
      </c>
      <c r="J2486" s="1199" t="s">
        <v>2529</v>
      </c>
      <c r="K2486" s="1199"/>
      <c r="L2486" s="1200"/>
      <c r="M2486" s="1146"/>
      <c r="N2486" s="519"/>
      <c r="O2486" s="979"/>
      <c r="P2486" s="979"/>
      <c r="Q2486" s="34"/>
      <c r="R2486" s="34"/>
      <c r="S2486" s="44"/>
      <c r="U2486" s="34"/>
    </row>
    <row r="2487" spans="1:24" ht="30" customHeight="1">
      <c r="A2487" s="37" t="s">
        <v>304</v>
      </c>
      <c r="B2487" s="1201" t="s">
        <v>330</v>
      </c>
      <c r="C2487" s="1202"/>
      <c r="D2487" s="1203"/>
      <c r="E2487" s="150" t="s">
        <v>295</v>
      </c>
      <c r="F2487" s="150" t="s">
        <v>331</v>
      </c>
      <c r="G2487" s="1204" t="s">
        <v>332</v>
      </c>
      <c r="H2487" s="1205"/>
      <c r="I2487" s="77" t="s">
        <v>305</v>
      </c>
      <c r="J2487" s="77"/>
      <c r="K2487" s="1206" t="s">
        <v>297</v>
      </c>
      <c r="L2487" s="1207"/>
      <c r="M2487" s="1146"/>
      <c r="U2487" s="34"/>
    </row>
    <row r="2488" spans="1:24" ht="30" customHeight="1">
      <c r="A2488" s="45" t="s">
        <v>1497</v>
      </c>
      <c r="B2488" s="1179" t="s">
        <v>1498</v>
      </c>
      <c r="C2488" s="1180"/>
      <c r="D2488" s="1181"/>
      <c r="E2488" s="153">
        <v>25.75</v>
      </c>
      <c r="F2488" s="22" t="s">
        <v>8</v>
      </c>
      <c r="G2488" s="521"/>
      <c r="H2488" s="333"/>
      <c r="I2488" s="326">
        <v>1.1000000000000001</v>
      </c>
      <c r="J2488" s="20"/>
      <c r="K2488" s="153">
        <f>+E2488*I2488</f>
        <v>28.325000000000003</v>
      </c>
      <c r="L2488" s="20" t="s">
        <v>8</v>
      </c>
      <c r="M2488" s="1146"/>
      <c r="T2488" s="84"/>
      <c r="U2488" s="38"/>
      <c r="V2488" s="38"/>
      <c r="W2488" s="38"/>
      <c r="X2488" s="38"/>
    </row>
    <row r="2489" spans="1:24" s="38" customFormat="1" ht="30" customHeight="1">
      <c r="A2489" s="45" t="s">
        <v>377</v>
      </c>
      <c r="B2489" s="1267" t="s">
        <v>1499</v>
      </c>
      <c r="C2489" s="1267"/>
      <c r="D2489" s="1267"/>
      <c r="E2489" s="153">
        <v>3.8</v>
      </c>
      <c r="F2489" s="20" t="s">
        <v>8</v>
      </c>
      <c r="G2489" s="20"/>
      <c r="H2489" s="20"/>
      <c r="I2489" s="20">
        <v>1.05</v>
      </c>
      <c r="J2489" s="20"/>
      <c r="K2489" s="153">
        <f>+E2489*I2489</f>
        <v>3.9899999999999998</v>
      </c>
      <c r="L2489" s="20" t="s">
        <v>8</v>
      </c>
      <c r="M2489" s="1146"/>
      <c r="N2489" s="193"/>
      <c r="O2489" s="1119"/>
      <c r="P2489" s="39"/>
      <c r="Q2489" s="39"/>
      <c r="R2489" s="39"/>
      <c r="S2489" s="84"/>
      <c r="T2489" s="44"/>
      <c r="U2489"/>
      <c r="V2489"/>
      <c r="W2489"/>
      <c r="X2489"/>
    </row>
    <row r="2490" spans="1:24" ht="30" customHeight="1">
      <c r="A2490" s="629"/>
      <c r="B2490" s="1267"/>
      <c r="C2490" s="1267"/>
      <c r="D2490" s="1267"/>
      <c r="E2490" s="153"/>
      <c r="F2490" s="20"/>
      <c r="G2490" s="206"/>
      <c r="H2490" s="20"/>
      <c r="I2490" s="20"/>
      <c r="J2490" s="20" t="s">
        <v>346</v>
      </c>
      <c r="K2490" s="153">
        <f>SUM(K2488:K2489)</f>
        <v>32.315000000000005</v>
      </c>
      <c r="L2490" s="20" t="s">
        <v>8</v>
      </c>
      <c r="M2490" s="1146"/>
      <c r="P2490" s="34"/>
      <c r="Q2490" s="34"/>
      <c r="R2490" s="34"/>
      <c r="S2490" s="44"/>
      <c r="T2490" s="32"/>
      <c r="U2490" s="34"/>
    </row>
    <row r="2491" spans="1:24" ht="30" customHeight="1">
      <c r="A2491" s="45"/>
      <c r="B2491" s="157"/>
      <c r="C2491" s="157"/>
      <c r="D2491" s="157"/>
      <c r="E2491" s="153"/>
      <c r="F2491" s="1174" t="s">
        <v>308</v>
      </c>
      <c r="G2491" s="1208" t="s">
        <v>309</v>
      </c>
      <c r="H2491" s="1208"/>
      <c r="I2491" s="1208"/>
      <c r="J2491" s="1208"/>
      <c r="K2491" s="123">
        <v>1.06</v>
      </c>
      <c r="L2491" s="10"/>
      <c r="M2491" s="1146"/>
      <c r="N2491" s="125"/>
      <c r="O2491" s="33"/>
      <c r="P2491" s="32"/>
      <c r="Q2491" s="32"/>
      <c r="R2491" s="32"/>
      <c r="S2491" s="32"/>
      <c r="U2491" s="34"/>
    </row>
    <row r="2492" spans="1:24" ht="30" customHeight="1">
      <c r="A2492" s="45"/>
      <c r="B2492" s="157"/>
      <c r="C2492" s="157"/>
      <c r="D2492" s="157"/>
      <c r="E2492" s="153"/>
      <c r="F2492" s="1175"/>
      <c r="G2492" s="1209" t="s">
        <v>310</v>
      </c>
      <c r="H2492" s="1209"/>
      <c r="I2492" s="1209"/>
      <c r="J2492" s="1209"/>
      <c r="K2492" s="123">
        <v>1.07</v>
      </c>
      <c r="L2492" s="10"/>
      <c r="M2492" s="1146"/>
      <c r="U2492" s="32"/>
      <c r="V2492" s="32"/>
      <c r="W2492" s="32"/>
      <c r="X2492" s="32"/>
    </row>
    <row r="2493" spans="1:24" s="32" customFormat="1" ht="30" customHeight="1">
      <c r="A2493" s="45"/>
      <c r="B2493" s="20"/>
      <c r="C2493" s="18"/>
      <c r="D2493" s="18"/>
      <c r="E2493" s="18"/>
      <c r="F2493" s="18"/>
      <c r="G2493" s="18"/>
      <c r="H2493" s="18"/>
      <c r="I2493" s="18"/>
      <c r="J2493" s="18" t="s">
        <v>289</v>
      </c>
      <c r="K2493" s="23">
        <f>+K2490*K2491/K2492</f>
        <v>32.012990654205616</v>
      </c>
      <c r="L2493" s="20" t="s">
        <v>8</v>
      </c>
      <c r="M2493" s="1146"/>
      <c r="N2493" s="25"/>
      <c r="O2493" s="1119"/>
      <c r="P2493"/>
      <c r="Q2493"/>
      <c r="R2493"/>
      <c r="S2493"/>
      <c r="T2493" s="84"/>
      <c r="U2493" s="38"/>
      <c r="V2493" s="38"/>
      <c r="W2493" s="38"/>
      <c r="X2493" s="38"/>
    </row>
    <row r="2494" spans="1:24" s="38" customFormat="1" ht="30" customHeight="1" thickBot="1">
      <c r="A2494" s="45"/>
      <c r="B2494" s="20"/>
      <c r="C2494" s="18"/>
      <c r="D2494" s="18"/>
      <c r="E2494" s="18"/>
      <c r="F2494" s="18"/>
      <c r="G2494" s="160" t="s">
        <v>312</v>
      </c>
      <c r="H2494" s="18"/>
      <c r="I2494" s="18"/>
      <c r="J2494" s="139">
        <f>VLOOKUP(B2486,'Mil Cost Premiums for RUCs'!$A$4:$R$266,18,FALSE)</f>
        <v>1.0209999999999999</v>
      </c>
      <c r="K2494" s="23">
        <f>+K2493*J2494</f>
        <v>32.685263457943933</v>
      </c>
      <c r="L2494" s="20" t="s">
        <v>8</v>
      </c>
      <c r="M2494" s="1146"/>
      <c r="N2494" s="193"/>
      <c r="O2494" s="1119"/>
      <c r="P2494" s="39"/>
      <c r="Q2494" s="39"/>
      <c r="R2494" s="39"/>
      <c r="S2494" s="84"/>
      <c r="T2494" s="44"/>
      <c r="U2494"/>
      <c r="V2494"/>
      <c r="W2494"/>
      <c r="X2494"/>
    </row>
    <row r="2495" spans="1:24" ht="30" customHeight="1" thickBot="1">
      <c r="A2495" s="1165"/>
      <c r="B2495" s="1166"/>
      <c r="C2495" s="1166"/>
      <c r="D2495" s="1166"/>
      <c r="E2495" s="1166"/>
      <c r="F2495" s="1166"/>
      <c r="G2495" s="1166"/>
      <c r="H2495" s="1166"/>
      <c r="I2495" s="1166"/>
      <c r="J2495" s="1166"/>
      <c r="K2495" s="1166"/>
      <c r="L2495" s="1167"/>
      <c r="M2495" s="1146"/>
      <c r="P2495" s="34"/>
      <c r="Q2495" s="34"/>
      <c r="R2495" s="34"/>
      <c r="S2495" s="44"/>
    </row>
    <row r="2496" spans="1:24" ht="30" customHeight="1">
      <c r="A2496" s="27" t="s">
        <v>280</v>
      </c>
      <c r="B2496" s="82">
        <v>7145</v>
      </c>
      <c r="C2496" s="1197" t="s">
        <v>1500</v>
      </c>
      <c r="D2496" s="1198"/>
      <c r="E2496" s="74" t="s">
        <v>282</v>
      </c>
      <c r="F2496" s="75" t="s">
        <v>8</v>
      </c>
      <c r="G2496" s="58" t="s">
        <v>290</v>
      </c>
      <c r="H2496" s="215">
        <v>1590</v>
      </c>
      <c r="I2496" s="74" t="s">
        <v>283</v>
      </c>
      <c r="J2496" s="1199" t="s">
        <v>2529</v>
      </c>
      <c r="K2496" s="1199"/>
      <c r="L2496" s="1200"/>
      <c r="M2496" s="1146"/>
      <c r="N2496" s="1103"/>
      <c r="O2496"/>
      <c r="P2496" s="159"/>
      <c r="Q2496" s="147"/>
      <c r="R2496" s="149"/>
    </row>
    <row r="2497" spans="1:24" ht="30" customHeight="1">
      <c r="A2497" s="37" t="s">
        <v>304</v>
      </c>
      <c r="B2497" s="1201" t="s">
        <v>330</v>
      </c>
      <c r="C2497" s="1202"/>
      <c r="D2497" s="1203"/>
      <c r="E2497" s="150" t="s">
        <v>295</v>
      </c>
      <c r="F2497" s="150" t="s">
        <v>331</v>
      </c>
      <c r="G2497" s="1204" t="s">
        <v>332</v>
      </c>
      <c r="H2497" s="1205"/>
      <c r="I2497" s="77" t="s">
        <v>305</v>
      </c>
      <c r="J2497" s="77"/>
      <c r="K2497" s="1206" t="s">
        <v>297</v>
      </c>
      <c r="L2497" s="1207"/>
      <c r="M2497" s="1146"/>
      <c r="N2497" s="1103"/>
      <c r="O2497"/>
      <c r="P2497" s="159"/>
      <c r="Q2497" s="147"/>
      <c r="R2497" s="149"/>
    </row>
    <row r="2498" spans="1:24" ht="30" customHeight="1">
      <c r="A2498" s="45" t="s">
        <v>1501</v>
      </c>
      <c r="B2498" s="1179" t="s">
        <v>1502</v>
      </c>
      <c r="C2498" s="1180"/>
      <c r="D2498" s="1181"/>
      <c r="E2498" s="153">
        <v>109.26</v>
      </c>
      <c r="F2498" s="22" t="s">
        <v>8</v>
      </c>
      <c r="G2498" s="521"/>
      <c r="H2498" s="333"/>
      <c r="I2498" s="20">
        <v>1.07</v>
      </c>
      <c r="J2498" s="20"/>
      <c r="K2498" s="153">
        <f>+E2498*I2498</f>
        <v>116.90820000000001</v>
      </c>
      <c r="L2498" s="20" t="s">
        <v>8</v>
      </c>
      <c r="M2498" s="1146"/>
      <c r="N2498" s="1103"/>
      <c r="O2498"/>
      <c r="P2498" s="159"/>
      <c r="Q2498" s="147"/>
      <c r="R2498" s="149"/>
      <c r="T2498" s="38"/>
      <c r="U2498" s="38"/>
      <c r="V2498" s="38"/>
      <c r="W2498" s="38"/>
      <c r="X2498" s="38"/>
    </row>
    <row r="2499" spans="1:24" s="38" customFormat="1" ht="30" customHeight="1">
      <c r="A2499" s="45" t="s">
        <v>418</v>
      </c>
      <c r="B2499" s="1267" t="s">
        <v>2744</v>
      </c>
      <c r="C2499" s="1267"/>
      <c r="D2499" s="1267"/>
      <c r="E2499" s="153">
        <v>4.79</v>
      </c>
      <c r="F2499" s="20" t="s">
        <v>8</v>
      </c>
      <c r="G2499" s="20"/>
      <c r="H2499" s="20"/>
      <c r="I2499" s="20">
        <v>1.07</v>
      </c>
      <c r="J2499" s="20"/>
      <c r="K2499" s="153">
        <f>+E2499*I2499</f>
        <v>5.1253000000000002</v>
      </c>
      <c r="L2499" s="20" t="s">
        <v>8</v>
      </c>
      <c r="M2499" s="1146"/>
      <c r="N2499" s="1103"/>
      <c r="P2499" s="159"/>
      <c r="Q2499" s="147"/>
      <c r="R2499" s="149"/>
      <c r="T2499"/>
      <c r="U2499"/>
      <c r="V2499"/>
      <c r="W2499"/>
      <c r="X2499"/>
    </row>
    <row r="2500" spans="1:24" ht="30" customHeight="1">
      <c r="A2500" s="629"/>
      <c r="B2500" s="1267"/>
      <c r="C2500" s="1267"/>
      <c r="D2500" s="1267"/>
      <c r="E2500" s="153"/>
      <c r="F2500" s="20"/>
      <c r="G2500" s="206"/>
      <c r="H2500" s="20"/>
      <c r="I2500" s="20"/>
      <c r="J2500" s="20" t="s">
        <v>346</v>
      </c>
      <c r="K2500" s="153">
        <f>SUM(K2498:K2499)</f>
        <v>122.0335</v>
      </c>
      <c r="L2500" s="20" t="s">
        <v>8</v>
      </c>
      <c r="M2500" s="1146"/>
      <c r="N2500" s="1103"/>
      <c r="O2500"/>
      <c r="P2500" s="159"/>
      <c r="Q2500" s="147"/>
      <c r="R2500" s="149"/>
    </row>
    <row r="2501" spans="1:24" ht="30" customHeight="1">
      <c r="A2501" s="45"/>
      <c r="B2501" s="157"/>
      <c r="C2501" s="157"/>
      <c r="D2501" s="157"/>
      <c r="E2501" s="153"/>
      <c r="F2501" s="1174" t="s">
        <v>308</v>
      </c>
      <c r="G2501" s="1208" t="s">
        <v>309</v>
      </c>
      <c r="H2501" s="1208"/>
      <c r="I2501" s="1208"/>
      <c r="J2501" s="1208"/>
      <c r="K2501" s="123">
        <v>1.06</v>
      </c>
      <c r="L2501" s="10"/>
      <c r="M2501" s="1146"/>
      <c r="N2501" s="282"/>
      <c r="O2501" s="34"/>
      <c r="P2501" s="283"/>
      <c r="Q2501" s="282"/>
      <c r="R2501" s="284"/>
    </row>
    <row r="2502" spans="1:24" ht="30" customHeight="1">
      <c r="A2502" s="45"/>
      <c r="B2502" s="157"/>
      <c r="C2502" s="157"/>
      <c r="D2502" s="157"/>
      <c r="E2502" s="153"/>
      <c r="F2502" s="1175"/>
      <c r="G2502" s="1209" t="s">
        <v>310</v>
      </c>
      <c r="H2502" s="1209"/>
      <c r="I2502" s="1209"/>
      <c r="J2502" s="1209"/>
      <c r="K2502" s="123">
        <v>1.07</v>
      </c>
      <c r="L2502" s="10"/>
      <c r="M2502" s="1146"/>
      <c r="N2502" s="282"/>
      <c r="O2502" s="34"/>
      <c r="P2502" s="283"/>
      <c r="Q2502" s="282"/>
      <c r="R2502" s="284"/>
    </row>
    <row r="2503" spans="1:24" ht="30" customHeight="1">
      <c r="A2503" s="45"/>
      <c r="B2503" s="20"/>
      <c r="C2503" s="18"/>
      <c r="D2503" s="18"/>
      <c r="E2503" s="18"/>
      <c r="F2503" s="18"/>
      <c r="G2503" s="18"/>
      <c r="H2503" s="18"/>
      <c r="I2503" s="18"/>
      <c r="J2503" s="20" t="s">
        <v>289</v>
      </c>
      <c r="K2503" s="23">
        <f>+K2500*K2501/K2502</f>
        <v>120.893</v>
      </c>
      <c r="L2503" s="20" t="s">
        <v>8</v>
      </c>
      <c r="M2503" s="1146"/>
      <c r="N2503" s="1103"/>
      <c r="O2503"/>
      <c r="P2503" s="159"/>
      <c r="Q2503" s="147"/>
      <c r="R2503" s="149"/>
      <c r="T2503" s="32"/>
      <c r="U2503" s="34"/>
    </row>
    <row r="2504" spans="1:24" ht="30" customHeight="1" thickBot="1">
      <c r="A2504" s="45"/>
      <c r="B2504" s="20"/>
      <c r="C2504" s="18"/>
      <c r="D2504" s="18"/>
      <c r="E2504" s="18"/>
      <c r="F2504" s="18"/>
      <c r="G2504" s="160" t="s">
        <v>312</v>
      </c>
      <c r="H2504" s="18"/>
      <c r="I2504" s="18"/>
      <c r="J2504" s="139">
        <f>VLOOKUP(B2496,'Mil Cost Premiums for RUCs'!$A$4:$R$266,18,FALSE)</f>
        <v>1.0209999999999999</v>
      </c>
      <c r="K2504" s="23">
        <f>+K2503*J2504</f>
        <v>123.43175299999999</v>
      </c>
      <c r="L2504" s="20" t="s">
        <v>8</v>
      </c>
      <c r="M2504" s="1146"/>
      <c r="N2504" s="125"/>
      <c r="O2504" s="33"/>
      <c r="P2504" s="32"/>
      <c r="Q2504" s="32"/>
      <c r="R2504" s="32"/>
      <c r="S2504" s="32"/>
      <c r="U2504" s="34"/>
    </row>
    <row r="2505" spans="1:24" ht="30" customHeight="1" thickBot="1">
      <c r="A2505" s="1165"/>
      <c r="B2505" s="1166"/>
      <c r="C2505" s="1166"/>
      <c r="D2505" s="1166"/>
      <c r="E2505" s="1166"/>
      <c r="F2505" s="1166"/>
      <c r="G2505" s="1166"/>
      <c r="H2505" s="1166"/>
      <c r="I2505" s="1166"/>
      <c r="J2505" s="1166"/>
      <c r="K2505" s="1166"/>
      <c r="L2505" s="1167"/>
      <c r="M2505" s="1146"/>
      <c r="U2505" s="32"/>
      <c r="V2505" s="32"/>
      <c r="W2505" s="32"/>
      <c r="X2505" s="32"/>
    </row>
    <row r="2506" spans="1:24" s="32" customFormat="1" ht="30" customHeight="1">
      <c r="A2506" s="27" t="s">
        <v>280</v>
      </c>
      <c r="B2506" s="28">
        <v>7147</v>
      </c>
      <c r="C2506" s="1393" t="s">
        <v>1503</v>
      </c>
      <c r="D2506" s="1394"/>
      <c r="E2506" s="74" t="s">
        <v>282</v>
      </c>
      <c r="F2506" s="75" t="s">
        <v>8</v>
      </c>
      <c r="G2506" s="58" t="s">
        <v>290</v>
      </c>
      <c r="H2506" s="145">
        <v>531</v>
      </c>
      <c r="I2506" s="74" t="s">
        <v>283</v>
      </c>
      <c r="J2506" s="1199" t="s">
        <v>2529</v>
      </c>
      <c r="K2506" s="1199"/>
      <c r="L2506" s="1200"/>
      <c r="M2506" s="1146"/>
      <c r="N2506" s="25"/>
      <c r="O2506" s="1119"/>
      <c r="P2506"/>
      <c r="Q2506"/>
      <c r="R2506"/>
      <c r="S2506"/>
      <c r="T2506" s="38"/>
      <c r="U2506" s="38"/>
      <c r="V2506" s="38"/>
      <c r="W2506" s="38"/>
      <c r="X2506" s="38"/>
    </row>
    <row r="2507" spans="1:24" s="38" customFormat="1" ht="30" customHeight="1">
      <c r="A2507" s="37" t="s">
        <v>304</v>
      </c>
      <c r="B2507" s="1300" t="s">
        <v>330</v>
      </c>
      <c r="C2507" s="1301"/>
      <c r="D2507" s="1302"/>
      <c r="E2507" s="150" t="s">
        <v>295</v>
      </c>
      <c r="F2507" s="150" t="s">
        <v>331</v>
      </c>
      <c r="G2507" s="1204" t="s">
        <v>332</v>
      </c>
      <c r="H2507" s="1205"/>
      <c r="I2507" s="77" t="s">
        <v>305</v>
      </c>
      <c r="J2507" s="77"/>
      <c r="K2507" s="1312" t="s">
        <v>297</v>
      </c>
      <c r="L2507" s="1313"/>
      <c r="M2507" s="1146"/>
      <c r="N2507" s="193"/>
      <c r="O2507" s="1119"/>
      <c r="T2507"/>
      <c r="U2507" s="32"/>
      <c r="V2507" s="32"/>
      <c r="W2507" s="32"/>
      <c r="X2507" s="32"/>
    </row>
    <row r="2508" spans="1:24" s="32" customFormat="1" ht="30" customHeight="1">
      <c r="A2508" s="629" t="s">
        <v>1492</v>
      </c>
      <c r="B2508" s="1383" t="s">
        <v>1504</v>
      </c>
      <c r="C2508" s="1384"/>
      <c r="D2508" s="1385"/>
      <c r="E2508" s="153">
        <f>+(7.78+15.65)/2</f>
        <v>11.715</v>
      </c>
      <c r="F2508" s="22" t="s">
        <v>8</v>
      </c>
      <c r="G2508" s="521"/>
      <c r="H2508" s="333"/>
      <c r="I2508" s="20">
        <v>1.01</v>
      </c>
      <c r="J2508" s="20"/>
      <c r="K2508" s="213">
        <f>+E2508*I2508</f>
        <v>11.83215</v>
      </c>
      <c r="L2508" s="45" t="s">
        <v>8</v>
      </c>
      <c r="M2508" s="1146"/>
      <c r="N2508" s="25"/>
      <c r="O2508" s="1119"/>
      <c r="P2508"/>
      <c r="Q2508"/>
      <c r="R2508"/>
      <c r="S2508"/>
      <c r="T2508" s="44"/>
      <c r="U2508"/>
      <c r="V2508"/>
      <c r="W2508"/>
      <c r="X2508"/>
    </row>
    <row r="2509" spans="1:24" ht="30" customHeight="1">
      <c r="A2509" s="647" t="s">
        <v>1492</v>
      </c>
      <c r="B2509" s="1176" t="s">
        <v>1505</v>
      </c>
      <c r="C2509" s="1177"/>
      <c r="D2509" s="1178"/>
      <c r="E2509" s="153">
        <f>(5.44+9.32)/2</f>
        <v>7.3800000000000008</v>
      </c>
      <c r="F2509" s="22" t="s">
        <v>8</v>
      </c>
      <c r="G2509" s="521"/>
      <c r="H2509" s="333"/>
      <c r="I2509" s="20">
        <v>1.01</v>
      </c>
      <c r="J2509" s="20"/>
      <c r="K2509" s="153">
        <f>+E2509*I2509</f>
        <v>7.4538000000000011</v>
      </c>
      <c r="L2509" s="20"/>
      <c r="M2509" s="1146"/>
      <c r="P2509" s="34"/>
      <c r="Q2509" s="34"/>
      <c r="R2509" s="34"/>
      <c r="S2509" s="44"/>
      <c r="T2509" s="44"/>
    </row>
    <row r="2510" spans="1:24" ht="30" customHeight="1">
      <c r="A2510" s="629"/>
      <c r="B2510" s="1386"/>
      <c r="C2510" s="1386"/>
      <c r="D2510" s="1386"/>
      <c r="E2510" s="213"/>
      <c r="F2510" s="45"/>
      <c r="G2510" s="648"/>
      <c r="H2510" s="45"/>
      <c r="I2510" s="45"/>
      <c r="J2510" s="45" t="s">
        <v>346</v>
      </c>
      <c r="K2510" s="153">
        <f>SUM(K2508:K2509)</f>
        <v>19.28595</v>
      </c>
      <c r="L2510" s="20" t="s">
        <v>8</v>
      </c>
      <c r="M2510" s="1146"/>
      <c r="P2510" s="34"/>
      <c r="Q2510" s="34"/>
      <c r="R2510" s="34"/>
      <c r="S2510" s="44"/>
    </row>
    <row r="2511" spans="1:24" ht="30" customHeight="1">
      <c r="A2511" s="45"/>
      <c r="B2511" s="189"/>
      <c r="C2511" s="189"/>
      <c r="D2511" s="189"/>
      <c r="E2511" s="213"/>
      <c r="F2511" s="1367" t="s">
        <v>308</v>
      </c>
      <c r="G2511" s="1369" t="s">
        <v>309</v>
      </c>
      <c r="H2511" s="1369"/>
      <c r="I2511" s="1369"/>
      <c r="J2511" s="1369"/>
      <c r="K2511" s="123">
        <v>1.06</v>
      </c>
      <c r="L2511" s="10"/>
      <c r="M2511" s="1146"/>
      <c r="N2511" s="1103"/>
      <c r="O2511"/>
      <c r="P2511" s="159"/>
      <c r="Q2511" s="147"/>
      <c r="R2511" s="149"/>
    </row>
    <row r="2512" spans="1:24" ht="30" customHeight="1">
      <c r="A2512" s="45"/>
      <c r="B2512" s="189"/>
      <c r="C2512" s="189"/>
      <c r="D2512" s="189"/>
      <c r="E2512" s="213"/>
      <c r="F2512" s="1368"/>
      <c r="G2512" s="1370" t="s">
        <v>310</v>
      </c>
      <c r="H2512" s="1370"/>
      <c r="I2512" s="1370"/>
      <c r="J2512" s="1370"/>
      <c r="K2512" s="123">
        <v>1.07</v>
      </c>
      <c r="L2512" s="10"/>
      <c r="M2512" s="1146"/>
      <c r="N2512" s="1103"/>
      <c r="O2512"/>
      <c r="P2512" s="159"/>
      <c r="Q2512" s="147"/>
      <c r="R2512" s="149"/>
    </row>
    <row r="2513" spans="1:24" ht="30" customHeight="1">
      <c r="A2513" s="45"/>
      <c r="B2513" s="45"/>
      <c r="C2513" s="46"/>
      <c r="D2513" s="46"/>
      <c r="E2513" s="46"/>
      <c r="F2513" s="46"/>
      <c r="G2513" s="46"/>
      <c r="H2513" s="46"/>
      <c r="I2513" s="46"/>
      <c r="J2513" s="45" t="s">
        <v>289</v>
      </c>
      <c r="K2513" s="23">
        <f>+K2510*K2511/K2512</f>
        <v>19.105707476635516</v>
      </c>
      <c r="L2513" s="20" t="s">
        <v>8</v>
      </c>
      <c r="M2513" s="1146"/>
      <c r="N2513" s="1103"/>
      <c r="O2513"/>
      <c r="P2513" s="159"/>
      <c r="Q2513" s="147"/>
      <c r="R2513" s="149"/>
      <c r="T2513" s="38"/>
      <c r="U2513" s="38"/>
      <c r="V2513" s="38"/>
      <c r="W2513" s="38"/>
      <c r="X2513" s="38"/>
    </row>
    <row r="2514" spans="1:24" s="38" customFormat="1" ht="30" customHeight="1" thickBot="1">
      <c r="A2514" s="45"/>
      <c r="B2514" s="45"/>
      <c r="C2514" s="46"/>
      <c r="D2514" s="46"/>
      <c r="E2514" s="46"/>
      <c r="F2514" s="46"/>
      <c r="G2514" s="176" t="s">
        <v>312</v>
      </c>
      <c r="H2514" s="46"/>
      <c r="I2514" s="46"/>
      <c r="J2514" s="139">
        <f>VLOOKUP(B2506,'Mil Cost Premiums for RUCs'!$A$4:$R$266,18,FALSE)</f>
        <v>1.0905505199999999</v>
      </c>
      <c r="K2514" s="23">
        <f>+K2513*J2514</f>
        <v>20.835739223612748</v>
      </c>
      <c r="L2514" s="20" t="s">
        <v>8</v>
      </c>
      <c r="M2514" s="1146"/>
      <c r="N2514" s="1103"/>
      <c r="P2514" s="159"/>
      <c r="Q2514" s="147"/>
      <c r="R2514" s="149"/>
      <c r="T2514"/>
      <c r="U2514"/>
      <c r="V2514"/>
      <c r="W2514"/>
      <c r="X2514"/>
    </row>
    <row r="2515" spans="1:24" ht="30" customHeight="1" thickBot="1">
      <c r="A2515" s="1165"/>
      <c r="B2515" s="1166"/>
      <c r="C2515" s="1166"/>
      <c r="D2515" s="1166"/>
      <c r="E2515" s="1166"/>
      <c r="F2515" s="1166"/>
      <c r="G2515" s="1166"/>
      <c r="H2515" s="1166"/>
      <c r="I2515" s="1166"/>
      <c r="J2515" s="1166"/>
      <c r="K2515" s="1166"/>
      <c r="L2515" s="1167"/>
      <c r="M2515" s="1146"/>
      <c r="N2515" s="1103"/>
      <c r="O2515"/>
      <c r="P2515" s="159"/>
      <c r="Q2515" s="147"/>
      <c r="R2515" s="149"/>
    </row>
    <row r="2516" spans="1:24" ht="30" customHeight="1">
      <c r="A2516" s="27" t="s">
        <v>280</v>
      </c>
      <c r="B2516" s="82">
        <v>7210</v>
      </c>
      <c r="C2516" s="1228" t="s">
        <v>1506</v>
      </c>
      <c r="D2516" s="1229"/>
      <c r="E2516" s="74" t="s">
        <v>282</v>
      </c>
      <c r="F2516" s="75" t="s">
        <v>8</v>
      </c>
      <c r="G2516" s="58" t="s">
        <v>290</v>
      </c>
      <c r="H2516" s="344">
        <v>33733</v>
      </c>
      <c r="I2516" s="74" t="s">
        <v>283</v>
      </c>
      <c r="J2516" s="1199" t="s">
        <v>2579</v>
      </c>
      <c r="K2516" s="1230"/>
      <c r="L2516" s="1231"/>
      <c r="M2516" s="1146"/>
      <c r="N2516" s="615"/>
      <c r="O2516"/>
      <c r="P2516" s="159"/>
      <c r="Q2516" s="147"/>
      <c r="R2516" s="149"/>
    </row>
    <row r="2517" spans="1:24" ht="30" customHeight="1">
      <c r="A2517" s="35" t="s">
        <v>293</v>
      </c>
      <c r="B2517" s="1232" t="s">
        <v>284</v>
      </c>
      <c r="C2517" s="1232"/>
      <c r="D2517" s="1232"/>
      <c r="E2517" s="78" t="s">
        <v>294</v>
      </c>
      <c r="F2517" s="96" t="s">
        <v>295</v>
      </c>
      <c r="G2517" s="77"/>
      <c r="H2517" s="77"/>
      <c r="I2517" s="1233" t="s">
        <v>296</v>
      </c>
      <c r="J2517" s="1234"/>
      <c r="K2517" s="1206" t="s">
        <v>297</v>
      </c>
      <c r="L2517" s="1207"/>
      <c r="M2517" s="1146"/>
      <c r="N2517" s="615"/>
      <c r="O2517"/>
      <c r="P2517" s="159"/>
      <c r="Q2517" s="147"/>
      <c r="R2517" s="149"/>
    </row>
    <row r="2518" spans="1:24" ht="30" customHeight="1">
      <c r="A2518" s="48" t="s">
        <v>298</v>
      </c>
      <c r="B2518" s="1222" t="s">
        <v>1507</v>
      </c>
      <c r="C2518" s="1222"/>
      <c r="D2518" s="1222"/>
      <c r="E2518" s="98">
        <v>67000</v>
      </c>
      <c r="F2518" s="99">
        <v>304</v>
      </c>
      <c r="G2518" s="100"/>
      <c r="H2518" s="101"/>
      <c r="I2518" s="1192" t="s">
        <v>2562</v>
      </c>
      <c r="J2518" s="1193"/>
      <c r="K2518" s="99">
        <f>+F2518</f>
        <v>304</v>
      </c>
      <c r="L2518" s="97" t="s">
        <v>8</v>
      </c>
      <c r="M2518" s="1146"/>
      <c r="N2518" s="1103"/>
      <c r="O2518"/>
      <c r="P2518" s="159"/>
      <c r="Q2518" s="147"/>
      <c r="R2518" s="149"/>
    </row>
    <row r="2519" spans="1:24" ht="30" customHeight="1" thickBot="1">
      <c r="A2519" s="45"/>
      <c r="B2519" s="1224"/>
      <c r="C2519" s="1224"/>
      <c r="D2519" s="1224"/>
      <c r="E2519" s="1225"/>
      <c r="F2519" s="1226"/>
      <c r="G2519" s="1226"/>
      <c r="H2519" s="1227"/>
      <c r="I2519" s="18"/>
      <c r="J2519" s="79" t="s">
        <v>289</v>
      </c>
      <c r="K2519" s="103">
        <f>+K2518</f>
        <v>304</v>
      </c>
      <c r="L2519" s="20" t="s">
        <v>8</v>
      </c>
      <c r="M2519" s="1146"/>
      <c r="N2519" s="1103"/>
      <c r="O2519"/>
      <c r="P2519" s="159"/>
      <c r="Q2519" s="147"/>
      <c r="R2519" s="149"/>
    </row>
    <row r="2520" spans="1:24" ht="30" customHeight="1" thickBot="1">
      <c r="A2520" s="1165"/>
      <c r="B2520" s="1166"/>
      <c r="C2520" s="1166"/>
      <c r="D2520" s="1166"/>
      <c r="E2520" s="1166"/>
      <c r="F2520" s="1166"/>
      <c r="G2520" s="1166"/>
      <c r="H2520" s="1166"/>
      <c r="I2520" s="1166"/>
      <c r="J2520" s="1166"/>
      <c r="K2520" s="1166"/>
      <c r="L2520" s="1167"/>
      <c r="M2520" s="1146"/>
      <c r="N2520" s="282"/>
      <c r="O2520" s="34"/>
      <c r="P2520" s="283"/>
      <c r="Q2520" s="282"/>
      <c r="R2520" s="284"/>
    </row>
    <row r="2521" spans="1:24" ht="30" customHeight="1">
      <c r="A2521" s="27" t="s">
        <v>280</v>
      </c>
      <c r="B2521" s="28">
        <v>7212</v>
      </c>
      <c r="C2521" s="1215" t="s">
        <v>1508</v>
      </c>
      <c r="D2521" s="1216"/>
      <c r="E2521" s="74" t="s">
        <v>282</v>
      </c>
      <c r="F2521" s="75" t="s">
        <v>8</v>
      </c>
      <c r="G2521" s="58" t="s">
        <v>290</v>
      </c>
      <c r="H2521" s="344">
        <v>7115</v>
      </c>
      <c r="I2521" s="74" t="s">
        <v>283</v>
      </c>
      <c r="J2521" s="1199" t="s">
        <v>2579</v>
      </c>
      <c r="K2521" s="1230"/>
      <c r="L2521" s="1231"/>
      <c r="M2521" s="1146"/>
      <c r="N2521" s="282"/>
      <c r="O2521" s="34"/>
      <c r="P2521" s="283"/>
      <c r="Q2521" s="282"/>
      <c r="R2521" s="284"/>
    </row>
    <row r="2522" spans="1:24" ht="30" customHeight="1">
      <c r="A2522" s="35" t="s">
        <v>293</v>
      </c>
      <c r="B2522" s="1299" t="s">
        <v>284</v>
      </c>
      <c r="C2522" s="1299"/>
      <c r="D2522" s="1299"/>
      <c r="E2522" s="78" t="s">
        <v>294</v>
      </c>
      <c r="F2522" s="96" t="s">
        <v>295</v>
      </c>
      <c r="G2522" s="77"/>
      <c r="H2522" s="77"/>
      <c r="I2522" s="1233" t="s">
        <v>296</v>
      </c>
      <c r="J2522" s="1234"/>
      <c r="K2522" s="1206" t="s">
        <v>297</v>
      </c>
      <c r="L2522" s="1207"/>
      <c r="M2522" s="1146"/>
      <c r="N2522" s="1103"/>
      <c r="O2522"/>
      <c r="P2522" s="159"/>
      <c r="Q2522" s="147"/>
      <c r="R2522" s="149"/>
    </row>
    <row r="2523" spans="1:24" ht="30" customHeight="1">
      <c r="A2523" s="97" t="s">
        <v>298</v>
      </c>
      <c r="B2523" s="1222" t="s">
        <v>1507</v>
      </c>
      <c r="C2523" s="1222"/>
      <c r="D2523" s="1222"/>
      <c r="E2523" s="98">
        <v>67000</v>
      </c>
      <c r="F2523" s="99">
        <v>304</v>
      </c>
      <c r="G2523" s="100"/>
      <c r="H2523" s="101"/>
      <c r="I2523" s="1192" t="s">
        <v>2562</v>
      </c>
      <c r="J2523" s="1193"/>
      <c r="K2523" s="99">
        <f>+F2523</f>
        <v>304</v>
      </c>
      <c r="L2523" s="97" t="s">
        <v>8</v>
      </c>
      <c r="M2523" s="1146"/>
      <c r="N2523" s="1103"/>
      <c r="O2523"/>
      <c r="P2523" s="159"/>
      <c r="Q2523" s="147"/>
      <c r="R2523" s="149"/>
    </row>
    <row r="2524" spans="1:24" ht="30" customHeight="1" thickBot="1">
      <c r="A2524" s="45"/>
      <c r="B2524" s="1307"/>
      <c r="C2524" s="1307"/>
      <c r="D2524" s="1307"/>
      <c r="E2524" s="1225"/>
      <c r="F2524" s="1226"/>
      <c r="G2524" s="1226"/>
      <c r="H2524" s="1227"/>
      <c r="I2524" s="18"/>
      <c r="J2524" s="79" t="s">
        <v>289</v>
      </c>
      <c r="K2524" s="103">
        <f>+K2523</f>
        <v>304</v>
      </c>
      <c r="L2524" s="20" t="s">
        <v>8</v>
      </c>
      <c r="M2524" s="1146"/>
      <c r="N2524" s="1103"/>
      <c r="O2524"/>
      <c r="P2524" s="159"/>
      <c r="Q2524" s="147"/>
      <c r="R2524" s="149"/>
    </row>
    <row r="2525" spans="1:24" ht="30" customHeight="1" thickBot="1">
      <c r="A2525" s="1165"/>
      <c r="B2525" s="1166"/>
      <c r="C2525" s="1166"/>
      <c r="D2525" s="1166"/>
      <c r="E2525" s="1166"/>
      <c r="F2525" s="1166"/>
      <c r="G2525" s="1166"/>
      <c r="H2525" s="1166"/>
      <c r="I2525" s="1166"/>
      <c r="J2525" s="1166"/>
      <c r="K2525" s="1166"/>
      <c r="L2525" s="1167"/>
      <c r="M2525" s="1146"/>
      <c r="N2525" s="1103"/>
      <c r="O2525"/>
      <c r="P2525" s="159"/>
      <c r="Q2525" s="147"/>
      <c r="R2525" s="149"/>
    </row>
    <row r="2526" spans="1:24" ht="30" customHeight="1">
      <c r="A2526" s="27" t="s">
        <v>280</v>
      </c>
      <c r="B2526" s="82">
        <v>7213</v>
      </c>
      <c r="C2526" s="1510" t="s">
        <v>1509</v>
      </c>
      <c r="D2526" s="1511"/>
      <c r="E2526" s="74" t="s">
        <v>282</v>
      </c>
      <c r="F2526" s="75" t="s">
        <v>8</v>
      </c>
      <c r="G2526" s="58" t="s">
        <v>290</v>
      </c>
      <c r="H2526" s="344">
        <v>37733</v>
      </c>
      <c r="I2526" s="74" t="s">
        <v>283</v>
      </c>
      <c r="J2526" s="1310" t="s">
        <v>2579</v>
      </c>
      <c r="K2526" s="1310"/>
      <c r="L2526" s="1311"/>
      <c r="M2526" s="1146"/>
      <c r="N2526" s="1103"/>
      <c r="O2526"/>
      <c r="P2526" s="159"/>
      <c r="Q2526" s="147"/>
      <c r="R2526" s="149"/>
    </row>
    <row r="2527" spans="1:24" ht="30" customHeight="1">
      <c r="A2527" s="35" t="s">
        <v>293</v>
      </c>
      <c r="B2527" s="1512" t="s">
        <v>284</v>
      </c>
      <c r="C2527" s="1431"/>
      <c r="D2527" s="1432"/>
      <c r="E2527" s="78" t="s">
        <v>294</v>
      </c>
      <c r="F2527" s="96" t="s">
        <v>295</v>
      </c>
      <c r="G2527" s="77"/>
      <c r="H2527" s="77"/>
      <c r="I2527" s="1233" t="s">
        <v>296</v>
      </c>
      <c r="J2527" s="1234"/>
      <c r="K2527" s="1206" t="s">
        <v>297</v>
      </c>
      <c r="L2527" s="1207"/>
      <c r="M2527" s="1146"/>
      <c r="N2527" s="615"/>
      <c r="O2527"/>
      <c r="P2527" s="159"/>
      <c r="Q2527" s="147"/>
      <c r="R2527" s="149"/>
    </row>
    <row r="2528" spans="1:24" ht="30" customHeight="1">
      <c r="A2528" s="48" t="s">
        <v>298</v>
      </c>
      <c r="B2528" s="1362" t="s">
        <v>1510</v>
      </c>
      <c r="C2528" s="1363"/>
      <c r="D2528" s="1364"/>
      <c r="E2528" s="98">
        <v>90000</v>
      </c>
      <c r="F2528" s="99">
        <v>315</v>
      </c>
      <c r="G2528" s="100"/>
      <c r="H2528" s="101"/>
      <c r="I2528" s="1192" t="s">
        <v>2562</v>
      </c>
      <c r="J2528" s="1193"/>
      <c r="K2528" s="99">
        <f>+F2528</f>
        <v>315</v>
      </c>
      <c r="L2528" s="97" t="s">
        <v>8</v>
      </c>
      <c r="M2528" s="1146"/>
      <c r="N2528" s="615"/>
      <c r="O2528"/>
      <c r="P2528" s="159"/>
      <c r="Q2528" s="147"/>
      <c r="R2528" s="149"/>
    </row>
    <row r="2529" spans="1:24" ht="30" customHeight="1" thickBot="1">
      <c r="A2529" s="45"/>
      <c r="B2529" s="1584"/>
      <c r="C2529" s="1585"/>
      <c r="D2529" s="1586"/>
      <c r="E2529" s="1623"/>
      <c r="F2529" s="1624"/>
      <c r="G2529" s="1624"/>
      <c r="H2529" s="1625"/>
      <c r="I2529" s="18"/>
      <c r="J2529" s="79" t="s">
        <v>289</v>
      </c>
      <c r="K2529" s="103">
        <f>+K2528</f>
        <v>315</v>
      </c>
      <c r="L2529" s="20" t="s">
        <v>8</v>
      </c>
      <c r="M2529" s="1146"/>
      <c r="O2529"/>
      <c r="P2529" s="159"/>
      <c r="Q2529" s="147"/>
      <c r="R2529" s="149"/>
    </row>
    <row r="2530" spans="1:24" ht="30" customHeight="1" thickBot="1">
      <c r="A2530" s="1165"/>
      <c r="B2530" s="1166"/>
      <c r="C2530" s="1166"/>
      <c r="D2530" s="1166"/>
      <c r="E2530" s="1166"/>
      <c r="F2530" s="1166"/>
      <c r="G2530" s="1166"/>
      <c r="H2530" s="1166"/>
      <c r="I2530" s="1166"/>
      <c r="J2530" s="1166"/>
      <c r="K2530" s="1166"/>
      <c r="L2530" s="1167"/>
      <c r="M2530" s="1146"/>
      <c r="O2530"/>
      <c r="P2530" s="159"/>
      <c r="Q2530" s="147"/>
      <c r="R2530" s="149"/>
    </row>
    <row r="2531" spans="1:24" ht="30" customHeight="1">
      <c r="A2531" s="27" t="s">
        <v>280</v>
      </c>
      <c r="B2531" s="82">
        <v>7214</v>
      </c>
      <c r="C2531" s="1228" t="s">
        <v>1511</v>
      </c>
      <c r="D2531" s="1229"/>
      <c r="E2531" s="74" t="s">
        <v>282</v>
      </c>
      <c r="F2531" s="75" t="s">
        <v>8</v>
      </c>
      <c r="G2531" s="58" t="s">
        <v>290</v>
      </c>
      <c r="H2531" s="344">
        <v>3295</v>
      </c>
      <c r="I2531" s="74" t="s">
        <v>283</v>
      </c>
      <c r="J2531" s="1199" t="s">
        <v>2579</v>
      </c>
      <c r="K2531" s="1230"/>
      <c r="L2531" s="1231"/>
      <c r="M2531" s="1146"/>
      <c r="N2531" s="1103"/>
      <c r="O2531"/>
      <c r="P2531" s="159"/>
      <c r="Q2531" s="147"/>
      <c r="R2531" s="149"/>
    </row>
    <row r="2532" spans="1:24" ht="30" customHeight="1">
      <c r="A2532" s="35" t="s">
        <v>293</v>
      </c>
      <c r="B2532" s="1232" t="s">
        <v>284</v>
      </c>
      <c r="C2532" s="1232"/>
      <c r="D2532" s="1232"/>
      <c r="E2532" s="78" t="s">
        <v>294</v>
      </c>
      <c r="F2532" s="96" t="s">
        <v>295</v>
      </c>
      <c r="G2532" s="77"/>
      <c r="H2532" s="77"/>
      <c r="I2532" s="1233" t="s">
        <v>296</v>
      </c>
      <c r="J2532" s="1234"/>
      <c r="K2532" s="1206" t="s">
        <v>297</v>
      </c>
      <c r="L2532" s="1207"/>
      <c r="M2532" s="1146"/>
      <c r="N2532" s="1103"/>
      <c r="O2532"/>
      <c r="P2532" s="159"/>
      <c r="Q2532" s="147"/>
      <c r="R2532" s="149"/>
    </row>
    <row r="2533" spans="1:24" ht="30" customHeight="1">
      <c r="A2533" s="48" t="s">
        <v>298</v>
      </c>
      <c r="B2533" s="1222" t="s">
        <v>1510</v>
      </c>
      <c r="C2533" s="1222"/>
      <c r="D2533" s="1222"/>
      <c r="E2533" s="98">
        <v>120000</v>
      </c>
      <c r="F2533" s="99">
        <v>293</v>
      </c>
      <c r="G2533" s="100"/>
      <c r="H2533" s="101"/>
      <c r="I2533" s="1192" t="s">
        <v>2562</v>
      </c>
      <c r="J2533" s="1193"/>
      <c r="K2533" s="99">
        <f>+F2533</f>
        <v>293</v>
      </c>
      <c r="L2533" s="97" t="s">
        <v>8</v>
      </c>
      <c r="M2533" s="1146"/>
      <c r="N2533" s="1103"/>
      <c r="O2533"/>
      <c r="P2533" s="159"/>
      <c r="Q2533" s="147"/>
      <c r="R2533" s="149"/>
    </row>
    <row r="2534" spans="1:24" ht="30" customHeight="1" thickBot="1">
      <c r="A2534" s="45"/>
      <c r="B2534" s="1224"/>
      <c r="C2534" s="1224"/>
      <c r="D2534" s="1224"/>
      <c r="E2534" s="1225"/>
      <c r="F2534" s="1226"/>
      <c r="G2534" s="1226"/>
      <c r="H2534" s="1227"/>
      <c r="I2534" s="18"/>
      <c r="J2534" s="79" t="s">
        <v>289</v>
      </c>
      <c r="K2534" s="103">
        <f>+K2533</f>
        <v>293</v>
      </c>
      <c r="L2534" s="20" t="s">
        <v>8</v>
      </c>
      <c r="M2534" s="1146"/>
      <c r="N2534" s="1103"/>
      <c r="O2534"/>
      <c r="P2534" s="159"/>
      <c r="Q2534" s="147"/>
      <c r="R2534" s="149"/>
    </row>
    <row r="2535" spans="1:24" ht="30" customHeight="1" thickBot="1">
      <c r="A2535" s="1165"/>
      <c r="B2535" s="1166"/>
      <c r="C2535" s="1166"/>
      <c r="D2535" s="1166"/>
      <c r="E2535" s="1166"/>
      <c r="F2535" s="1166"/>
      <c r="G2535" s="1166"/>
      <c r="H2535" s="1166"/>
      <c r="I2535" s="1166"/>
      <c r="J2535" s="1166"/>
      <c r="K2535" s="1166"/>
      <c r="L2535" s="1167"/>
      <c r="M2535" s="1146"/>
      <c r="O2535"/>
      <c r="P2535" s="159"/>
      <c r="Q2535" s="147"/>
      <c r="R2535" s="149"/>
      <c r="T2535" s="38"/>
      <c r="U2535" s="38"/>
      <c r="V2535" s="38"/>
      <c r="W2535" s="38"/>
      <c r="X2535" s="38"/>
    </row>
    <row r="2536" spans="1:24" s="38" customFormat="1" ht="30" customHeight="1">
      <c r="A2536" s="162" t="s">
        <v>280</v>
      </c>
      <c r="B2536" s="163">
        <v>7215</v>
      </c>
      <c r="C2536" s="1596" t="s">
        <v>1512</v>
      </c>
      <c r="D2536" s="1410"/>
      <c r="E2536" s="216" t="s">
        <v>282</v>
      </c>
      <c r="F2536" s="217" t="s">
        <v>8</v>
      </c>
      <c r="G2536" s="58" t="s">
        <v>290</v>
      </c>
      <c r="H2536" s="218">
        <v>74599</v>
      </c>
      <c r="I2536" s="216" t="s">
        <v>283</v>
      </c>
      <c r="J2536" s="1199" t="s">
        <v>2529</v>
      </c>
      <c r="K2536" s="1199"/>
      <c r="L2536" s="1200"/>
      <c r="M2536" s="1146"/>
      <c r="N2536" s="193"/>
      <c r="P2536" s="159"/>
      <c r="Q2536" s="147"/>
      <c r="R2536" s="149"/>
      <c r="T2536"/>
      <c r="U2536"/>
      <c r="V2536"/>
      <c r="W2536"/>
      <c r="X2536"/>
    </row>
    <row r="2537" spans="1:24" ht="30" customHeight="1">
      <c r="A2537" s="165" t="s">
        <v>304</v>
      </c>
      <c r="B2537" s="1324" t="s">
        <v>330</v>
      </c>
      <c r="C2537" s="1325"/>
      <c r="D2537" s="1326"/>
      <c r="E2537" s="219" t="s">
        <v>295</v>
      </c>
      <c r="F2537" s="219" t="s">
        <v>331</v>
      </c>
      <c r="G2537" s="1327" t="s">
        <v>332</v>
      </c>
      <c r="H2537" s="1328"/>
      <c r="I2537" s="167" t="s">
        <v>305</v>
      </c>
      <c r="J2537" s="167"/>
      <c r="K2537" s="1206" t="s">
        <v>297</v>
      </c>
      <c r="L2537" s="1207"/>
      <c r="M2537" s="1146"/>
      <c r="N2537" s="1103"/>
      <c r="O2537"/>
      <c r="P2537" s="159"/>
      <c r="Q2537" s="147"/>
      <c r="R2537" s="149"/>
    </row>
    <row r="2538" spans="1:24" ht="30" customHeight="1">
      <c r="A2538" s="10" t="s">
        <v>1513</v>
      </c>
      <c r="B2538" s="1162" t="s">
        <v>1514</v>
      </c>
      <c r="C2538" s="1163"/>
      <c r="D2538" s="1164"/>
      <c r="E2538" s="115">
        <v>139.62</v>
      </c>
      <c r="F2538" s="5" t="s">
        <v>8</v>
      </c>
      <c r="G2538" s="296"/>
      <c r="H2538" s="297"/>
      <c r="I2538" s="10">
        <v>1.07</v>
      </c>
      <c r="J2538" s="415"/>
      <c r="K2538" s="115">
        <f>+E2538*I2538</f>
        <v>149.39340000000001</v>
      </c>
      <c r="L2538" s="10" t="s">
        <v>8</v>
      </c>
      <c r="M2538" s="1146"/>
      <c r="N2538" s="615"/>
      <c r="O2538"/>
      <c r="P2538" s="159"/>
      <c r="Q2538" s="147"/>
      <c r="R2538" s="149"/>
    </row>
    <row r="2539" spans="1:24" ht="30" customHeight="1">
      <c r="A2539" s="10" t="s">
        <v>418</v>
      </c>
      <c r="B2539" s="1182" t="s">
        <v>2745</v>
      </c>
      <c r="C2539" s="1183"/>
      <c r="D2539" s="1183"/>
      <c r="E2539" s="115">
        <v>2.66</v>
      </c>
      <c r="F2539" s="401" t="s">
        <v>8</v>
      </c>
      <c r="G2539" s="296"/>
      <c r="H2539" s="297"/>
      <c r="I2539" s="10">
        <v>1.07</v>
      </c>
      <c r="J2539" s="415"/>
      <c r="K2539" s="115">
        <f>+E2539*I2539</f>
        <v>2.8462000000000005</v>
      </c>
      <c r="L2539" s="10" t="s">
        <v>8</v>
      </c>
      <c r="M2539" s="1146"/>
      <c r="O2539"/>
      <c r="P2539" s="159"/>
      <c r="Q2539" s="147"/>
      <c r="R2539" s="149"/>
    </row>
    <row r="2540" spans="1:24" ht="30" customHeight="1">
      <c r="A2540" s="10" t="s">
        <v>416</v>
      </c>
      <c r="B2540" s="1182" t="s">
        <v>1515</v>
      </c>
      <c r="C2540" s="1183"/>
      <c r="D2540" s="1184"/>
      <c r="E2540" s="115">
        <v>53500</v>
      </c>
      <c r="F2540" s="296" t="s">
        <v>10</v>
      </c>
      <c r="G2540" s="296">
        <v>3</v>
      </c>
      <c r="H2540" s="297" t="s">
        <v>10</v>
      </c>
      <c r="I2540" s="10">
        <v>1.07</v>
      </c>
      <c r="J2540" s="415"/>
      <c r="K2540" s="115">
        <f>+E2540*G2540*I2540/$H$2536</f>
        <v>2.3021086073539858</v>
      </c>
      <c r="L2540" s="10" t="s">
        <v>8</v>
      </c>
      <c r="M2540" s="1146"/>
      <c r="N2540" s="1103"/>
      <c r="O2540"/>
      <c r="P2540" s="159"/>
      <c r="Q2540" s="147"/>
      <c r="R2540" s="149"/>
    </row>
    <row r="2541" spans="1:24" ht="30" customHeight="1">
      <c r="A2541" s="10" t="s">
        <v>395</v>
      </c>
      <c r="B2541" s="1182" t="s">
        <v>2746</v>
      </c>
      <c r="C2541" s="1183"/>
      <c r="D2541" s="1184"/>
      <c r="E2541" s="115">
        <f>(19.15+29.75)/2</f>
        <v>24.45</v>
      </c>
      <c r="F2541" s="296" t="s">
        <v>8</v>
      </c>
      <c r="G2541" s="296">
        <v>162</v>
      </c>
      <c r="H2541" s="297" t="s">
        <v>8</v>
      </c>
      <c r="I2541" s="10">
        <v>1.06</v>
      </c>
      <c r="J2541" s="415"/>
      <c r="K2541" s="115">
        <f>+E2541*G2541*I2541/$H$2536</f>
        <v>5.6281639164063861E-2</v>
      </c>
      <c r="L2541" s="10" t="s">
        <v>8</v>
      </c>
      <c r="M2541" s="1146"/>
      <c r="N2541" s="282"/>
      <c r="O2541" s="34"/>
      <c r="P2541" s="283"/>
      <c r="Q2541" s="282"/>
      <c r="R2541" s="284"/>
    </row>
    <row r="2542" spans="1:24" ht="30" customHeight="1">
      <c r="A2542" s="10" t="s">
        <v>395</v>
      </c>
      <c r="B2542" s="1182" t="s">
        <v>1516</v>
      </c>
      <c r="C2542" s="1183"/>
      <c r="D2542" s="1184"/>
      <c r="E2542" s="115">
        <f>(1610+2280)/2</f>
        <v>1945</v>
      </c>
      <c r="F2542" s="296" t="s">
        <v>10</v>
      </c>
      <c r="G2542" s="296">
        <v>2</v>
      </c>
      <c r="H2542" s="297" t="s">
        <v>10</v>
      </c>
      <c r="I2542" s="10">
        <v>1.06</v>
      </c>
      <c r="J2542" s="415"/>
      <c r="K2542" s="115">
        <f>+E2542*G2542*I2542/$H$2536</f>
        <v>5.5274199386050757E-2</v>
      </c>
      <c r="L2542" s="10" t="s">
        <v>8</v>
      </c>
      <c r="M2542" s="1146"/>
      <c r="N2542" s="282"/>
      <c r="O2542" s="34"/>
      <c r="P2542" s="283"/>
      <c r="Q2542" s="282"/>
      <c r="R2542" s="284"/>
    </row>
    <row r="2543" spans="1:24" ht="30" customHeight="1">
      <c r="A2543" s="10" t="s">
        <v>398</v>
      </c>
      <c r="B2543" s="1182" t="s">
        <v>1044</v>
      </c>
      <c r="C2543" s="1183"/>
      <c r="D2543" s="1184"/>
      <c r="E2543" s="115">
        <f>(31.5+75)*10/2</f>
        <v>532.5</v>
      </c>
      <c r="F2543" s="296" t="s">
        <v>10</v>
      </c>
      <c r="G2543" s="296">
        <v>2</v>
      </c>
      <c r="H2543" s="297" t="s">
        <v>10</v>
      </c>
      <c r="I2543" s="10">
        <v>1.04</v>
      </c>
      <c r="J2543" s="415"/>
      <c r="K2543" s="115">
        <f t="shared" ref="K2543:K2546" si="54">+E2543*G2543*I2543/$H$2536</f>
        <v>1.4847384013190527E-2</v>
      </c>
      <c r="L2543" s="10" t="s">
        <v>8</v>
      </c>
      <c r="M2543" s="1146"/>
      <c r="N2543" s="615"/>
      <c r="O2543"/>
      <c r="P2543" s="159"/>
      <c r="Q2543" s="147"/>
      <c r="R2543" s="149"/>
    </row>
    <row r="2544" spans="1:24" ht="30" customHeight="1">
      <c r="A2544" s="10" t="s">
        <v>398</v>
      </c>
      <c r="B2544" s="1182" t="s">
        <v>1517</v>
      </c>
      <c r="C2544" s="1183"/>
      <c r="D2544" s="1184"/>
      <c r="E2544" s="115">
        <f>(5900+11300)/2</f>
        <v>8600</v>
      </c>
      <c r="F2544" s="296" t="s">
        <v>10</v>
      </c>
      <c r="G2544" s="296">
        <v>2</v>
      </c>
      <c r="H2544" s="297" t="s">
        <v>10</v>
      </c>
      <c r="I2544" s="10">
        <v>1.04</v>
      </c>
      <c r="J2544" s="415"/>
      <c r="K2544" s="115">
        <f t="shared" si="54"/>
        <v>0.23978873711443854</v>
      </c>
      <c r="L2544" s="10" t="s">
        <v>8</v>
      </c>
      <c r="M2544" s="1146"/>
      <c r="O2544"/>
      <c r="P2544" s="159"/>
      <c r="Q2544" s="147"/>
      <c r="R2544" s="149"/>
    </row>
    <row r="2545" spans="1:24" ht="30" customHeight="1">
      <c r="A2545" s="10" t="s">
        <v>398</v>
      </c>
      <c r="B2545" s="1182" t="s">
        <v>1018</v>
      </c>
      <c r="C2545" s="1183"/>
      <c r="D2545" s="1184"/>
      <c r="E2545" s="115">
        <f>(605+925)/2</f>
        <v>765</v>
      </c>
      <c r="F2545" s="296" t="s">
        <v>10</v>
      </c>
      <c r="G2545" s="296">
        <v>2</v>
      </c>
      <c r="H2545" s="297" t="s">
        <v>10</v>
      </c>
      <c r="I2545" s="10">
        <v>1.04</v>
      </c>
      <c r="J2545" s="415"/>
      <c r="K2545" s="115">
        <f t="shared" si="54"/>
        <v>2.133004463866808E-2</v>
      </c>
      <c r="L2545" s="10" t="s">
        <v>8</v>
      </c>
      <c r="M2545" s="1146"/>
      <c r="N2545" s="1103"/>
      <c r="O2545"/>
      <c r="P2545" s="159"/>
      <c r="Q2545" s="147"/>
      <c r="R2545" s="149"/>
    </row>
    <row r="2546" spans="1:24" ht="30" customHeight="1">
      <c r="A2546" s="10" t="s">
        <v>398</v>
      </c>
      <c r="B2546" s="1182" t="s">
        <v>403</v>
      </c>
      <c r="C2546" s="1183"/>
      <c r="D2546" s="1184"/>
      <c r="E2546" s="115">
        <f>(1060+3175)/2</f>
        <v>2117.5</v>
      </c>
      <c r="F2546" s="296" t="s">
        <v>10</v>
      </c>
      <c r="G2546" s="296">
        <v>2</v>
      </c>
      <c r="H2546" s="297" t="s">
        <v>10</v>
      </c>
      <c r="I2546" s="10">
        <v>1.04</v>
      </c>
      <c r="J2546" s="415"/>
      <c r="K2546" s="115">
        <f t="shared" si="54"/>
        <v>5.9041005911607401E-2</v>
      </c>
      <c r="L2546" s="10" t="s">
        <v>8</v>
      </c>
      <c r="M2546" s="1146"/>
      <c r="O2546"/>
      <c r="P2546" s="159"/>
      <c r="Q2546" s="147"/>
      <c r="R2546" s="149"/>
      <c r="T2546" s="38"/>
      <c r="U2546" s="38"/>
      <c r="V2546" s="38"/>
      <c r="W2546" s="38"/>
      <c r="X2546" s="38"/>
    </row>
    <row r="2547" spans="1:24" s="38" customFormat="1" ht="30" customHeight="1">
      <c r="A2547" s="649"/>
      <c r="B2547" s="1329"/>
      <c r="C2547" s="1329"/>
      <c r="D2547" s="1329"/>
      <c r="E2547" s="115"/>
      <c r="F2547" s="10"/>
      <c r="G2547" s="494"/>
      <c r="H2547" s="10"/>
      <c r="I2547" s="10"/>
      <c r="J2547" s="10" t="s">
        <v>346</v>
      </c>
      <c r="K2547" s="115">
        <f>SUM(K2538:K2546)</f>
        <v>154.98827161758203</v>
      </c>
      <c r="L2547" s="10" t="s">
        <v>8</v>
      </c>
      <c r="M2547" s="1146"/>
      <c r="N2547" s="193"/>
      <c r="P2547" s="159"/>
      <c r="Q2547" s="147"/>
      <c r="R2547" s="149"/>
      <c r="T2547"/>
      <c r="U2547"/>
      <c r="V2547"/>
      <c r="W2547"/>
      <c r="X2547"/>
    </row>
    <row r="2548" spans="1:24" ht="30" customHeight="1">
      <c r="A2548" s="45"/>
      <c r="B2548" s="157"/>
      <c r="C2548" s="157"/>
      <c r="D2548" s="157"/>
      <c r="E2548" s="153"/>
      <c r="F2548" s="1174" t="s">
        <v>308</v>
      </c>
      <c r="G2548" s="1208" t="s">
        <v>309</v>
      </c>
      <c r="H2548" s="1208"/>
      <c r="I2548" s="1208"/>
      <c r="J2548" s="1208"/>
      <c r="K2548" s="123">
        <v>1.06</v>
      </c>
      <c r="L2548" s="10"/>
      <c r="M2548" s="1146"/>
      <c r="N2548" s="1103"/>
      <c r="O2548"/>
      <c r="P2548" s="159"/>
      <c r="Q2548" s="147"/>
      <c r="R2548" s="149"/>
    </row>
    <row r="2549" spans="1:24" ht="30" customHeight="1">
      <c r="A2549" s="45"/>
      <c r="B2549" s="157"/>
      <c r="C2549" s="157"/>
      <c r="D2549" s="157"/>
      <c r="E2549" s="153"/>
      <c r="F2549" s="1175"/>
      <c r="G2549" s="1209" t="s">
        <v>310</v>
      </c>
      <c r="H2549" s="1209"/>
      <c r="I2549" s="1209"/>
      <c r="J2549" s="1209"/>
      <c r="K2549" s="123">
        <v>1.07</v>
      </c>
      <c r="L2549" s="10"/>
      <c r="M2549" s="1146"/>
      <c r="N2549" s="1103"/>
      <c r="O2549"/>
      <c r="P2549" s="159"/>
      <c r="Q2549" s="147"/>
      <c r="R2549" s="149"/>
    </row>
    <row r="2550" spans="1:24" ht="30" customHeight="1">
      <c r="A2550" s="10"/>
      <c r="B2550" s="10"/>
      <c r="C2550" s="13"/>
      <c r="D2550" s="13"/>
      <c r="E2550" s="13"/>
      <c r="F2550" s="13"/>
      <c r="G2550" s="13"/>
      <c r="H2550" s="13"/>
      <c r="I2550" s="13"/>
      <c r="J2550" s="13" t="s">
        <v>289</v>
      </c>
      <c r="K2550" s="14">
        <f>+K2547*K2548/K2549</f>
        <v>153.53978309779154</v>
      </c>
      <c r="L2550" s="10" t="s">
        <v>8</v>
      </c>
      <c r="M2550" s="1146"/>
      <c r="N2550" s="615"/>
      <c r="O2550"/>
      <c r="P2550" s="159"/>
      <c r="Q2550" s="147"/>
      <c r="R2550" s="149"/>
    </row>
    <row r="2551" spans="1:24" ht="30" customHeight="1">
      <c r="A2551" s="10"/>
      <c r="B2551" s="10"/>
      <c r="C2551" s="13"/>
      <c r="D2551" s="13"/>
      <c r="E2551" s="13"/>
      <c r="F2551" s="13"/>
      <c r="G2551" s="226"/>
      <c r="H2551" s="13"/>
      <c r="I2551" s="461" t="s">
        <v>385</v>
      </c>
      <c r="J2551" s="139">
        <f>VLOOKUP(B2536,'Mil Cost Premiums for RUCs'!$A$4:$R$266,18,FALSE)</f>
        <v>1.3319480854780448</v>
      </c>
      <c r="K2551" s="14">
        <f>+K2550*J2551</f>
        <v>204.50702014181769</v>
      </c>
      <c r="L2551" s="10" t="s">
        <v>8</v>
      </c>
      <c r="M2551" s="1146"/>
      <c r="N2551" s="1103"/>
      <c r="O2551"/>
      <c r="P2551" s="159"/>
      <c r="Q2551" s="147"/>
      <c r="R2551" s="149"/>
    </row>
    <row r="2552" spans="1:24" ht="60" customHeight="1">
      <c r="A2552" s="1337" t="s">
        <v>313</v>
      </c>
      <c r="B2552" s="1338"/>
      <c r="C2552" s="1338"/>
      <c r="D2552" s="1338"/>
      <c r="E2552" s="1338"/>
      <c r="F2552" s="1338"/>
      <c r="G2552" s="1338"/>
      <c r="H2552" s="1338"/>
      <c r="I2552" s="1338"/>
      <c r="J2552" s="1338"/>
      <c r="K2552" s="1338"/>
      <c r="L2552" s="1339"/>
      <c r="M2552" s="1146"/>
      <c r="N2552" s="282"/>
      <c r="O2552" s="34"/>
      <c r="P2552" s="283"/>
      <c r="Q2552" s="282"/>
      <c r="R2552" s="284"/>
    </row>
    <row r="2553" spans="1:24" ht="30" customHeight="1">
      <c r="A2553" s="1406" t="s">
        <v>314</v>
      </c>
      <c r="B2553" s="1407"/>
      <c r="C2553" s="1408"/>
      <c r="D2553" s="1270" t="s">
        <v>1518</v>
      </c>
      <c r="E2553" s="1371"/>
      <c r="F2553" s="1371"/>
      <c r="G2553" s="1371"/>
      <c r="H2553" s="1371"/>
      <c r="I2553" s="1371"/>
      <c r="J2553" s="1371"/>
      <c r="K2553" s="1371"/>
      <c r="L2553" s="1372"/>
      <c r="M2553" s="1146"/>
      <c r="N2553" s="282"/>
      <c r="O2553" s="34"/>
      <c r="P2553" s="283"/>
      <c r="Q2553" s="282"/>
      <c r="R2553" s="284"/>
    </row>
    <row r="2554" spans="1:24" ht="30" customHeight="1">
      <c r="A2554" s="1406" t="s">
        <v>316</v>
      </c>
      <c r="B2554" s="1407"/>
      <c r="C2554" s="1408"/>
      <c r="D2554" s="1270" t="s">
        <v>1519</v>
      </c>
      <c r="E2554" s="1371"/>
      <c r="F2554" s="1371"/>
      <c r="G2554" s="1371"/>
      <c r="H2554" s="1371"/>
      <c r="I2554" s="1371"/>
      <c r="J2554" s="1371"/>
      <c r="K2554" s="1371"/>
      <c r="L2554" s="1372"/>
      <c r="M2554" s="1146"/>
      <c r="N2554" s="612"/>
      <c r="O2554"/>
      <c r="P2554" s="159"/>
      <c r="Q2554" s="147"/>
      <c r="R2554" s="149"/>
      <c r="T2554" s="44"/>
      <c r="U2554" s="34"/>
    </row>
    <row r="2555" spans="1:24" ht="30" customHeight="1">
      <c r="A2555" s="1406" t="s">
        <v>317</v>
      </c>
      <c r="B2555" s="1407"/>
      <c r="C2555" s="1408"/>
      <c r="D2555" s="1270" t="s">
        <v>2591</v>
      </c>
      <c r="E2555" s="1371"/>
      <c r="F2555" s="1371"/>
      <c r="G2555" s="1371"/>
      <c r="H2555" s="1371"/>
      <c r="I2555" s="1371"/>
      <c r="J2555" s="1371"/>
      <c r="K2555" s="1371"/>
      <c r="L2555" s="1372"/>
      <c r="M2555" s="1146"/>
      <c r="N2555" s="612"/>
      <c r="P2555" s="34"/>
      <c r="Q2555" s="34"/>
      <c r="R2555" s="34"/>
      <c r="S2555" s="44"/>
      <c r="T2555" s="44"/>
      <c r="U2555" s="34"/>
    </row>
    <row r="2556" spans="1:24" ht="30" customHeight="1">
      <c r="A2556" s="1406" t="s">
        <v>318</v>
      </c>
      <c r="B2556" s="1407"/>
      <c r="C2556" s="1408"/>
      <c r="D2556" s="1270" t="s">
        <v>1520</v>
      </c>
      <c r="E2556" s="1371"/>
      <c r="F2556" s="1371"/>
      <c r="G2556" s="1371"/>
      <c r="H2556" s="1371"/>
      <c r="I2556" s="1371"/>
      <c r="J2556" s="1371"/>
      <c r="K2556" s="1371"/>
      <c r="L2556" s="1372"/>
      <c r="M2556" s="1146"/>
      <c r="N2556" s="85"/>
      <c r="P2556" s="34"/>
      <c r="Q2556" s="34"/>
      <c r="R2556" s="34"/>
      <c r="S2556" s="44"/>
      <c r="T2556" s="32"/>
      <c r="U2556" s="32"/>
      <c r="V2556" s="32"/>
      <c r="W2556" s="32"/>
      <c r="X2556" s="32"/>
    </row>
    <row r="2557" spans="1:24" s="32" customFormat="1" ht="60" customHeight="1">
      <c r="A2557" s="1406" t="s">
        <v>320</v>
      </c>
      <c r="B2557" s="1407"/>
      <c r="C2557" s="1408"/>
      <c r="D2557" s="1270" t="s">
        <v>1521</v>
      </c>
      <c r="E2557" s="1371"/>
      <c r="F2557" s="1371"/>
      <c r="G2557" s="1371"/>
      <c r="H2557" s="1371"/>
      <c r="I2557" s="1371"/>
      <c r="J2557" s="1371"/>
      <c r="K2557" s="1371"/>
      <c r="L2557" s="1372"/>
      <c r="M2557" s="1146"/>
      <c r="N2557" s="124"/>
      <c r="O2557" s="33"/>
      <c r="T2557" s="38"/>
      <c r="U2557" s="38"/>
      <c r="V2557" s="38"/>
      <c r="W2557" s="38"/>
      <c r="X2557" s="38"/>
    </row>
    <row r="2558" spans="1:24" s="38" customFormat="1" ht="30" customHeight="1">
      <c r="A2558" s="1406" t="s">
        <v>322</v>
      </c>
      <c r="B2558" s="1407"/>
      <c r="C2558" s="1408"/>
      <c r="D2558" s="1270" t="s">
        <v>323</v>
      </c>
      <c r="E2558" s="1371"/>
      <c r="F2558" s="1371"/>
      <c r="G2558" s="1371"/>
      <c r="H2558" s="1371"/>
      <c r="I2558" s="1371"/>
      <c r="J2558" s="1371"/>
      <c r="K2558" s="1371"/>
      <c r="L2558" s="1372"/>
      <c r="M2558" s="1146"/>
      <c r="N2558" s="615"/>
      <c r="O2558" s="1119"/>
      <c r="T2558"/>
      <c r="U2558"/>
      <c r="V2558"/>
      <c r="W2558"/>
      <c r="X2558"/>
    </row>
    <row r="2559" spans="1:24" ht="30" customHeight="1">
      <c r="A2559" s="1406" t="s">
        <v>324</v>
      </c>
      <c r="B2559" s="1407"/>
      <c r="C2559" s="1408"/>
      <c r="D2559" s="1270" t="s">
        <v>1522</v>
      </c>
      <c r="E2559" s="1371"/>
      <c r="F2559" s="1371"/>
      <c r="G2559" s="1371"/>
      <c r="H2559" s="1371"/>
      <c r="I2559" s="1371"/>
      <c r="J2559" s="1371"/>
      <c r="K2559" s="1371"/>
      <c r="L2559" s="1372"/>
      <c r="M2559" s="1146"/>
      <c r="N2559" s="85"/>
      <c r="T2559" s="32"/>
      <c r="U2559" s="34"/>
    </row>
    <row r="2560" spans="1:24" ht="75" customHeight="1">
      <c r="A2560" s="1406" t="s">
        <v>325</v>
      </c>
      <c r="B2560" s="1407"/>
      <c r="C2560" s="1408"/>
      <c r="D2560" s="1270" t="s">
        <v>391</v>
      </c>
      <c r="E2560" s="1371"/>
      <c r="F2560" s="1371"/>
      <c r="G2560" s="1371"/>
      <c r="H2560" s="1371"/>
      <c r="I2560" s="1371"/>
      <c r="J2560" s="1371"/>
      <c r="K2560" s="1371"/>
      <c r="L2560" s="1372"/>
      <c r="M2560" s="1146"/>
      <c r="N2560" s="125"/>
      <c r="O2560" s="33"/>
      <c r="P2560" s="32"/>
      <c r="Q2560" s="32"/>
      <c r="R2560" s="32"/>
      <c r="S2560" s="32"/>
      <c r="U2560" s="34"/>
    </row>
    <row r="2561" spans="1:24" ht="90" customHeight="1" thickBot="1">
      <c r="A2561" s="1406" t="s">
        <v>327</v>
      </c>
      <c r="B2561" s="1407"/>
      <c r="C2561" s="1408"/>
      <c r="D2561" s="1270" t="s">
        <v>2933</v>
      </c>
      <c r="E2561" s="1371"/>
      <c r="F2561" s="1371"/>
      <c r="G2561" s="1371"/>
      <c r="H2561" s="1371"/>
      <c r="I2561" s="1371"/>
      <c r="J2561" s="1371"/>
      <c r="K2561" s="1371"/>
      <c r="L2561" s="1372"/>
      <c r="M2561" s="1146"/>
      <c r="U2561" s="32"/>
      <c r="V2561" s="32"/>
      <c r="W2561" s="32"/>
      <c r="X2561" s="32"/>
    </row>
    <row r="2562" spans="1:24" s="32" customFormat="1" ht="30" customHeight="1" thickBot="1">
      <c r="A2562" s="1165"/>
      <c r="B2562" s="1166"/>
      <c r="C2562" s="1166"/>
      <c r="D2562" s="1166"/>
      <c r="E2562" s="1166"/>
      <c r="F2562" s="1166"/>
      <c r="G2562" s="1166"/>
      <c r="H2562" s="1166"/>
      <c r="I2562" s="1166"/>
      <c r="J2562" s="1166"/>
      <c r="K2562" s="1166"/>
      <c r="L2562" s="1167"/>
      <c r="M2562" s="1146"/>
      <c r="N2562" s="124"/>
      <c r="O2562" s="1119"/>
      <c r="P2562"/>
      <c r="Q2562"/>
      <c r="R2562"/>
      <c r="S2562"/>
      <c r="T2562" s="84"/>
      <c r="U2562" s="38"/>
      <c r="V2562" s="38"/>
      <c r="W2562" s="38"/>
      <c r="X2562" s="38"/>
    </row>
    <row r="2563" spans="1:24" s="38" customFormat="1" ht="30" customHeight="1">
      <c r="A2563" s="27" t="s">
        <v>280</v>
      </c>
      <c r="B2563" s="82">
        <v>7218</v>
      </c>
      <c r="C2563" s="1228" t="s">
        <v>1523</v>
      </c>
      <c r="D2563" s="1229"/>
      <c r="E2563" s="74" t="s">
        <v>282</v>
      </c>
      <c r="F2563" s="75" t="s">
        <v>8</v>
      </c>
      <c r="G2563" s="58" t="s">
        <v>290</v>
      </c>
      <c r="H2563" s="336">
        <v>30112</v>
      </c>
      <c r="I2563" s="74" t="s">
        <v>283</v>
      </c>
      <c r="J2563" s="1199" t="s">
        <v>1524</v>
      </c>
      <c r="K2563" s="1230"/>
      <c r="L2563" s="1231"/>
      <c r="M2563" s="1146"/>
      <c r="N2563" s="193"/>
      <c r="O2563" s="1119"/>
      <c r="P2563" s="39"/>
      <c r="Q2563" s="39"/>
      <c r="R2563" s="39"/>
      <c r="S2563" s="84"/>
      <c r="T2563" s="44"/>
      <c r="U2563"/>
      <c r="V2563"/>
      <c r="W2563"/>
      <c r="X2563"/>
    </row>
    <row r="2564" spans="1:24" ht="30" customHeight="1">
      <c r="A2564" s="35" t="s">
        <v>293</v>
      </c>
      <c r="B2564" s="1232" t="s">
        <v>284</v>
      </c>
      <c r="C2564" s="1232"/>
      <c r="D2564" s="1232"/>
      <c r="E2564" s="78" t="s">
        <v>294</v>
      </c>
      <c r="F2564" s="96" t="s">
        <v>295</v>
      </c>
      <c r="G2564" s="77"/>
      <c r="H2564" s="77"/>
      <c r="I2564" s="1233" t="s">
        <v>426</v>
      </c>
      <c r="J2564" s="1234"/>
      <c r="K2564" s="1206" t="s">
        <v>297</v>
      </c>
      <c r="L2564" s="1207"/>
      <c r="M2564" s="1146"/>
      <c r="P2564" s="34"/>
      <c r="Q2564" s="34"/>
      <c r="R2564" s="34"/>
      <c r="S2564" s="44"/>
      <c r="T2564" s="44"/>
      <c r="U2564" s="34"/>
    </row>
    <row r="2565" spans="1:24" ht="30" customHeight="1">
      <c r="A2565" s="48" t="s">
        <v>298</v>
      </c>
      <c r="B2565" s="1222" t="s">
        <v>1525</v>
      </c>
      <c r="C2565" s="1222"/>
      <c r="D2565" s="1222"/>
      <c r="E2565" s="98">
        <v>130000</v>
      </c>
      <c r="F2565" s="99">
        <v>207</v>
      </c>
      <c r="G2565" s="100"/>
      <c r="H2565" s="101"/>
      <c r="I2565" s="1192">
        <f>+'2019 MILCON Inflation Table'!F13</f>
        <v>1.0963107786467188</v>
      </c>
      <c r="J2565" s="1193"/>
      <c r="K2565" s="99">
        <f>+F2565*I2565</f>
        <v>226.93633117987079</v>
      </c>
      <c r="L2565" s="97" t="s">
        <v>8</v>
      </c>
      <c r="M2565" s="1146"/>
      <c r="P2565" s="34"/>
      <c r="Q2565" s="34"/>
      <c r="R2565" s="34"/>
      <c r="S2565" s="44"/>
      <c r="T2565" s="44"/>
      <c r="U2565" s="34"/>
    </row>
    <row r="2566" spans="1:24" ht="30" customHeight="1" thickBot="1">
      <c r="A2566" s="45"/>
      <c r="B2566" s="1224"/>
      <c r="C2566" s="1224"/>
      <c r="D2566" s="1224"/>
      <c r="E2566" s="1225"/>
      <c r="F2566" s="1226"/>
      <c r="G2566" s="1226"/>
      <c r="H2566" s="1227"/>
      <c r="I2566" s="18"/>
      <c r="J2566" s="79" t="s">
        <v>289</v>
      </c>
      <c r="K2566" s="103">
        <f>+K2565</f>
        <v>226.93633117987079</v>
      </c>
      <c r="L2566" s="20" t="s">
        <v>8</v>
      </c>
      <c r="M2566" s="1146"/>
      <c r="P2566" s="34"/>
      <c r="Q2566" s="34"/>
      <c r="R2566" s="34"/>
      <c r="S2566" s="44"/>
      <c r="U2566" s="34"/>
    </row>
    <row r="2567" spans="1:24" ht="30" customHeight="1" thickBot="1">
      <c r="A2567" s="1165"/>
      <c r="B2567" s="1166"/>
      <c r="C2567" s="1166"/>
      <c r="D2567" s="1166"/>
      <c r="E2567" s="1166"/>
      <c r="F2567" s="1166"/>
      <c r="G2567" s="1166"/>
      <c r="H2567" s="1166"/>
      <c r="I2567" s="1166"/>
      <c r="J2567" s="1166"/>
      <c r="K2567" s="1166"/>
      <c r="L2567" s="1167"/>
      <c r="M2567" s="1146"/>
      <c r="N2567" s="85"/>
      <c r="T2567" s="84"/>
      <c r="U2567" s="38"/>
      <c r="V2567" s="38"/>
      <c r="W2567" s="38"/>
      <c r="X2567" s="38"/>
    </row>
    <row r="2568" spans="1:24" s="38" customFormat="1" ht="30" customHeight="1">
      <c r="A2568" s="27" t="s">
        <v>280</v>
      </c>
      <c r="B2568" s="82">
        <v>7220</v>
      </c>
      <c r="C2568" s="1228" t="s">
        <v>1526</v>
      </c>
      <c r="D2568" s="1229"/>
      <c r="E2568" s="74" t="s">
        <v>282</v>
      </c>
      <c r="F2568" s="75" t="s">
        <v>8</v>
      </c>
      <c r="G2568" s="58" t="s">
        <v>290</v>
      </c>
      <c r="H2568" s="336">
        <v>11315</v>
      </c>
      <c r="I2568" s="74" t="s">
        <v>283</v>
      </c>
      <c r="J2568" s="1199" t="s">
        <v>2579</v>
      </c>
      <c r="K2568" s="1230"/>
      <c r="L2568" s="1231"/>
      <c r="M2568" s="1146"/>
      <c r="N2568" s="526"/>
      <c r="O2568" s="1119"/>
      <c r="P2568" s="39"/>
      <c r="Q2568" s="39"/>
      <c r="R2568" s="39"/>
      <c r="S2568" s="84"/>
      <c r="T2568" s="44"/>
      <c r="U2568"/>
      <c r="V2568"/>
      <c r="W2568"/>
      <c r="X2568"/>
    </row>
    <row r="2569" spans="1:24" ht="30" customHeight="1">
      <c r="A2569" s="35" t="s">
        <v>293</v>
      </c>
      <c r="B2569" s="1232" t="s">
        <v>284</v>
      </c>
      <c r="C2569" s="1232"/>
      <c r="D2569" s="1232"/>
      <c r="E2569" s="78" t="s">
        <v>294</v>
      </c>
      <c r="F2569" s="96" t="s">
        <v>295</v>
      </c>
      <c r="G2569" s="77"/>
      <c r="H2569" s="77"/>
      <c r="I2569" s="1233" t="s">
        <v>426</v>
      </c>
      <c r="J2569" s="1234"/>
      <c r="K2569" s="1206" t="s">
        <v>297</v>
      </c>
      <c r="L2569" s="1207"/>
      <c r="M2569" s="1146"/>
      <c r="N2569" s="34"/>
      <c r="P2569" s="34"/>
      <c r="Q2569" s="34"/>
      <c r="R2569" s="34"/>
      <c r="S2569" s="44"/>
    </row>
    <row r="2570" spans="1:24" ht="30" customHeight="1">
      <c r="A2570" s="48" t="s">
        <v>298</v>
      </c>
      <c r="B2570" s="1362" t="s">
        <v>1527</v>
      </c>
      <c r="C2570" s="1363"/>
      <c r="D2570" s="1364"/>
      <c r="E2570" s="98">
        <v>28000</v>
      </c>
      <c r="F2570" s="99">
        <v>515</v>
      </c>
      <c r="G2570" s="100"/>
      <c r="H2570" s="101"/>
      <c r="I2570" s="1192" t="s">
        <v>2740</v>
      </c>
      <c r="J2570" s="1193"/>
      <c r="K2570" s="99">
        <f>+F2570</f>
        <v>515</v>
      </c>
      <c r="L2570" s="97" t="s">
        <v>8</v>
      </c>
      <c r="M2570" s="1146"/>
      <c r="N2570" s="616"/>
      <c r="O2570"/>
      <c r="P2570" s="159"/>
      <c r="Q2570" s="147"/>
      <c r="R2570" s="149"/>
    </row>
    <row r="2571" spans="1:24" ht="30" customHeight="1" thickBot="1">
      <c r="A2571" s="45"/>
      <c r="B2571" s="1584"/>
      <c r="C2571" s="1585"/>
      <c r="D2571" s="1586"/>
      <c r="E2571" s="1623"/>
      <c r="F2571" s="1624"/>
      <c r="G2571" s="1624"/>
      <c r="H2571" s="1625"/>
      <c r="I2571" s="18"/>
      <c r="J2571" s="79" t="s">
        <v>289</v>
      </c>
      <c r="K2571" s="103">
        <f>+K2570</f>
        <v>515</v>
      </c>
      <c r="L2571" s="20" t="s">
        <v>8</v>
      </c>
      <c r="M2571" s="1146"/>
      <c r="N2571" s="616"/>
      <c r="O2571" s="43"/>
      <c r="P2571" s="159"/>
      <c r="Q2571" s="147"/>
      <c r="R2571" s="149"/>
    </row>
    <row r="2572" spans="1:24" ht="30" customHeight="1" thickBot="1">
      <c r="A2572" s="1165"/>
      <c r="B2572" s="1166"/>
      <c r="C2572" s="1166"/>
      <c r="D2572" s="1166"/>
      <c r="E2572" s="1166"/>
      <c r="F2572" s="1166"/>
      <c r="G2572" s="1166"/>
      <c r="H2572" s="1166"/>
      <c r="I2572" s="1166"/>
      <c r="J2572" s="1166"/>
      <c r="K2572" s="1166"/>
      <c r="L2572" s="1167"/>
      <c r="M2572" s="1146"/>
      <c r="O2572" s="147"/>
      <c r="P2572" s="149"/>
      <c r="T2572" s="38"/>
      <c r="U2572" s="38"/>
      <c r="V2572" s="38"/>
      <c r="W2572" s="38"/>
      <c r="X2572" s="38"/>
    </row>
    <row r="2573" spans="1:24" s="38" customFormat="1" ht="30" customHeight="1">
      <c r="A2573" s="162" t="s">
        <v>280</v>
      </c>
      <c r="B2573" s="163">
        <v>7231</v>
      </c>
      <c r="C2573" s="1290" t="s">
        <v>1528</v>
      </c>
      <c r="D2573" s="1291"/>
      <c r="E2573" s="216" t="s">
        <v>282</v>
      </c>
      <c r="F2573" s="217" t="s">
        <v>8</v>
      </c>
      <c r="G2573" s="58" t="s">
        <v>290</v>
      </c>
      <c r="H2573" s="245">
        <v>2820</v>
      </c>
      <c r="I2573" s="216" t="s">
        <v>283</v>
      </c>
      <c r="J2573" s="1199" t="s">
        <v>2529</v>
      </c>
      <c r="K2573" s="1199"/>
      <c r="L2573" s="1200"/>
      <c r="M2573" s="1146"/>
      <c r="N2573" s="193"/>
      <c r="O2573" s="147"/>
      <c r="P2573" s="149"/>
      <c r="T2573"/>
      <c r="U2573"/>
      <c r="V2573"/>
      <c r="W2573"/>
      <c r="X2573"/>
    </row>
    <row r="2574" spans="1:24" ht="30" customHeight="1">
      <c r="A2574" s="165" t="s">
        <v>304</v>
      </c>
      <c r="B2574" s="1324" t="s">
        <v>330</v>
      </c>
      <c r="C2574" s="1325"/>
      <c r="D2574" s="1326"/>
      <c r="E2574" s="219" t="s">
        <v>295</v>
      </c>
      <c r="F2574" s="219" t="s">
        <v>331</v>
      </c>
      <c r="G2574" s="1327" t="s">
        <v>332</v>
      </c>
      <c r="H2574" s="1328"/>
      <c r="I2574" s="167" t="s">
        <v>305</v>
      </c>
      <c r="J2574" s="167"/>
      <c r="K2574" s="1206" t="s">
        <v>297</v>
      </c>
      <c r="L2574" s="1207"/>
      <c r="M2574" s="1146"/>
      <c r="N2574" s="229"/>
      <c r="O2574" s="147"/>
      <c r="P2574" s="149"/>
    </row>
    <row r="2575" spans="1:24" ht="30" customHeight="1">
      <c r="A2575" s="10" t="s">
        <v>1529</v>
      </c>
      <c r="B2575" s="1182" t="s">
        <v>1530</v>
      </c>
      <c r="C2575" s="1183"/>
      <c r="D2575" s="1184"/>
      <c r="E2575" s="115">
        <v>81.680000000000007</v>
      </c>
      <c r="F2575" s="5" t="s">
        <v>8</v>
      </c>
      <c r="G2575" s="296"/>
      <c r="H2575" s="297"/>
      <c r="I2575" s="10">
        <v>1.05</v>
      </c>
      <c r="J2575" s="10"/>
      <c r="K2575" s="115">
        <f>+E2575*I2575</f>
        <v>85.76400000000001</v>
      </c>
      <c r="L2575" s="10" t="s">
        <v>8</v>
      </c>
      <c r="M2575" s="1146"/>
      <c r="N2575" s="85"/>
      <c r="O2575" s="147"/>
      <c r="P2575" s="149"/>
    </row>
    <row r="2576" spans="1:24" ht="30" customHeight="1">
      <c r="A2576" s="650" t="s">
        <v>1531</v>
      </c>
      <c r="B2576" s="1162" t="s">
        <v>2747</v>
      </c>
      <c r="C2576" s="1163"/>
      <c r="D2576" s="1164"/>
      <c r="E2576" s="115">
        <f>110-4.42</f>
        <v>105.58</v>
      </c>
      <c r="F2576" s="5" t="s">
        <v>8</v>
      </c>
      <c r="G2576" s="296"/>
      <c r="H2576" s="297"/>
      <c r="I2576" s="415">
        <v>1.1000000000000001</v>
      </c>
      <c r="J2576" s="10"/>
      <c r="K2576" s="115">
        <f>+E2576*I2576</f>
        <v>116.13800000000001</v>
      </c>
      <c r="L2576" s="10" t="s">
        <v>8</v>
      </c>
      <c r="M2576" s="1146"/>
      <c r="N2576" s="229"/>
      <c r="O2576" s="147"/>
      <c r="P2576" s="149"/>
    </row>
    <row r="2577" spans="1:18" ht="30" customHeight="1">
      <c r="A2577" s="650"/>
      <c r="B2577" s="601"/>
      <c r="C2577" s="602"/>
      <c r="D2577" s="439"/>
      <c r="E2577" s="115"/>
      <c r="F2577" s="5"/>
      <c r="G2577" s="1168" t="s">
        <v>1532</v>
      </c>
      <c r="H2577" s="1169"/>
      <c r="I2577" s="1169"/>
      <c r="J2577" s="1170"/>
      <c r="K2577" s="115">
        <f>AVERAGE(K2575:K2576)</f>
        <v>100.95100000000001</v>
      </c>
      <c r="L2577" s="10"/>
      <c r="M2577" s="1146"/>
      <c r="N2577" s="229"/>
      <c r="O2577" s="147"/>
      <c r="P2577" s="149"/>
    </row>
    <row r="2578" spans="1:18" ht="30" customHeight="1">
      <c r="A2578" s="10" t="s">
        <v>1416</v>
      </c>
      <c r="B2578" s="1329" t="s">
        <v>1533</v>
      </c>
      <c r="C2578" s="1329"/>
      <c r="D2578" s="1329"/>
      <c r="E2578" s="115">
        <v>4.0599999999999996</v>
      </c>
      <c r="F2578" s="10" t="s">
        <v>8</v>
      </c>
      <c r="G2578" s="10"/>
      <c r="H2578" s="10"/>
      <c r="I2578" s="10">
        <v>1.05</v>
      </c>
      <c r="J2578" s="10"/>
      <c r="K2578" s="115">
        <f>+E2578*I2578</f>
        <v>4.2629999999999999</v>
      </c>
      <c r="L2578" s="10" t="s">
        <v>8</v>
      </c>
      <c r="M2578" s="1146"/>
      <c r="N2578" s="229"/>
      <c r="O2578" s="147"/>
      <c r="P2578" s="149"/>
    </row>
    <row r="2579" spans="1:18" ht="30" customHeight="1">
      <c r="A2579" s="649"/>
      <c r="B2579" s="1329"/>
      <c r="C2579" s="1329"/>
      <c r="D2579" s="1329"/>
      <c r="E2579" s="115"/>
      <c r="F2579" s="10"/>
      <c r="G2579" s="494"/>
      <c r="H2579" s="10"/>
      <c r="I2579" s="10"/>
      <c r="J2579" s="10" t="s">
        <v>346</v>
      </c>
      <c r="K2579" s="115">
        <f>SUM(K2577:K2578)</f>
        <v>105.21400000000001</v>
      </c>
      <c r="L2579" s="10" t="s">
        <v>8</v>
      </c>
      <c r="M2579" s="1146"/>
      <c r="N2579" s="229"/>
      <c r="O2579" s="147"/>
      <c r="P2579" s="149"/>
    </row>
    <row r="2580" spans="1:18" ht="30" customHeight="1">
      <c r="A2580" s="45"/>
      <c r="B2580" s="157"/>
      <c r="C2580" s="157"/>
      <c r="D2580" s="157"/>
      <c r="E2580" s="153"/>
      <c r="F2580" s="1174" t="s">
        <v>308</v>
      </c>
      <c r="G2580" s="1208" t="s">
        <v>309</v>
      </c>
      <c r="H2580" s="1208"/>
      <c r="I2580" s="1208"/>
      <c r="J2580" s="1208"/>
      <c r="K2580" s="123">
        <v>1.07</v>
      </c>
      <c r="L2580" s="10"/>
      <c r="M2580" s="1146"/>
      <c r="N2580" s="229"/>
      <c r="O2580" s="147"/>
      <c r="P2580" s="149"/>
    </row>
    <row r="2581" spans="1:18" ht="30" customHeight="1">
      <c r="A2581" s="45"/>
      <c r="B2581" s="157"/>
      <c r="C2581" s="157"/>
      <c r="D2581" s="157"/>
      <c r="E2581" s="153"/>
      <c r="F2581" s="1175"/>
      <c r="G2581" s="1209" t="s">
        <v>310</v>
      </c>
      <c r="H2581" s="1209"/>
      <c r="I2581" s="1209"/>
      <c r="J2581" s="1209"/>
      <c r="K2581" s="123">
        <v>1.07</v>
      </c>
      <c r="L2581" s="10"/>
      <c r="M2581" s="1146"/>
      <c r="N2581" s="229"/>
      <c r="O2581" s="147"/>
      <c r="P2581" s="149"/>
    </row>
    <row r="2582" spans="1:18" ht="30" customHeight="1">
      <c r="A2582" s="10"/>
      <c r="B2582" s="10"/>
      <c r="C2582" s="13"/>
      <c r="D2582" s="13"/>
      <c r="E2582" s="13"/>
      <c r="F2582" s="13"/>
      <c r="G2582" s="13"/>
      <c r="H2582" s="13"/>
      <c r="I2582" s="13"/>
      <c r="J2582" s="10" t="s">
        <v>289</v>
      </c>
      <c r="K2582" s="14">
        <f>+K2579*K2580/K2581</f>
        <v>105.21400000000001</v>
      </c>
      <c r="L2582" s="10" t="s">
        <v>8</v>
      </c>
      <c r="M2582" s="1146"/>
      <c r="N2582" s="229"/>
      <c r="O2582" s="147"/>
      <c r="P2582" s="149"/>
    </row>
    <row r="2583" spans="1:18" ht="30" customHeight="1">
      <c r="A2583" s="10"/>
      <c r="B2583" s="10"/>
      <c r="C2583" s="13"/>
      <c r="D2583" s="13"/>
      <c r="E2583" s="13"/>
      <c r="F2583" s="13"/>
      <c r="G2583" s="226"/>
      <c r="H2583" s="13"/>
      <c r="I2583" s="461" t="s">
        <v>385</v>
      </c>
      <c r="J2583" s="139">
        <f>VLOOKUP(B2573,'Mil Cost Premiums for RUCs'!$A$4:$R$266,18,FALSE)</f>
        <v>1.1690733213045894</v>
      </c>
      <c r="K2583" s="14">
        <f>+K2582*J2583</f>
        <v>123.00288042774109</v>
      </c>
      <c r="L2583" s="10" t="s">
        <v>8</v>
      </c>
      <c r="M2583" s="1146"/>
      <c r="N2583" s="282"/>
      <c r="O2583" s="34"/>
      <c r="P2583" s="283"/>
      <c r="Q2583" s="282"/>
      <c r="R2583" s="284"/>
    </row>
    <row r="2584" spans="1:18" ht="60" customHeight="1">
      <c r="A2584" s="1337" t="s">
        <v>313</v>
      </c>
      <c r="B2584" s="1338"/>
      <c r="C2584" s="1338"/>
      <c r="D2584" s="1338"/>
      <c r="E2584" s="1338"/>
      <c r="F2584" s="1338"/>
      <c r="G2584" s="1338"/>
      <c r="H2584" s="1338"/>
      <c r="I2584" s="1338"/>
      <c r="J2584" s="1338"/>
      <c r="K2584" s="1338"/>
      <c r="L2584" s="1339"/>
      <c r="M2584" s="1146"/>
      <c r="N2584" s="282"/>
      <c r="O2584" s="34"/>
      <c r="P2584" s="283"/>
      <c r="Q2584" s="282"/>
      <c r="R2584" s="284"/>
    </row>
    <row r="2585" spans="1:18" ht="30" customHeight="1">
      <c r="A2585" s="1406" t="s">
        <v>314</v>
      </c>
      <c r="B2585" s="1407"/>
      <c r="C2585" s="1408"/>
      <c r="D2585" s="1270" t="s">
        <v>1534</v>
      </c>
      <c r="E2585" s="1371"/>
      <c r="F2585" s="1371"/>
      <c r="G2585" s="1371"/>
      <c r="H2585" s="1371"/>
      <c r="I2585" s="1371"/>
      <c r="J2585" s="1371"/>
      <c r="K2585" s="1371"/>
      <c r="L2585" s="1372"/>
      <c r="M2585" s="1146"/>
      <c r="N2585" s="229"/>
      <c r="O2585" s="147"/>
      <c r="P2585" s="149"/>
    </row>
    <row r="2586" spans="1:18" ht="30" customHeight="1">
      <c r="A2586" s="1406" t="s">
        <v>316</v>
      </c>
      <c r="B2586" s="1407"/>
      <c r="C2586" s="1408"/>
      <c r="D2586" s="1270" t="s">
        <v>1535</v>
      </c>
      <c r="E2586" s="1371"/>
      <c r="F2586" s="1371"/>
      <c r="G2586" s="1371"/>
      <c r="H2586" s="1371"/>
      <c r="I2586" s="1371"/>
      <c r="J2586" s="1371"/>
      <c r="K2586" s="1371"/>
      <c r="L2586" s="1372"/>
      <c r="M2586" s="1146"/>
      <c r="N2586" s="229"/>
      <c r="O2586" s="147"/>
      <c r="P2586" s="149"/>
    </row>
    <row r="2587" spans="1:18" ht="30" customHeight="1">
      <c r="A2587" s="1406" t="s">
        <v>317</v>
      </c>
      <c r="B2587" s="1407"/>
      <c r="C2587" s="1408"/>
      <c r="D2587" s="1270" t="s">
        <v>1536</v>
      </c>
      <c r="E2587" s="1371"/>
      <c r="F2587" s="1371"/>
      <c r="G2587" s="1371"/>
      <c r="H2587" s="1371"/>
      <c r="I2587" s="1371"/>
      <c r="J2587" s="1371"/>
      <c r="K2587" s="1371"/>
      <c r="L2587" s="1372"/>
      <c r="M2587" s="1146"/>
      <c r="O2587" s="159"/>
      <c r="P2587" s="147"/>
      <c r="Q2587" s="149"/>
    </row>
    <row r="2588" spans="1:18" ht="30" customHeight="1">
      <c r="A2588" s="1406" t="s">
        <v>318</v>
      </c>
      <c r="B2588" s="1407"/>
      <c r="C2588" s="1408"/>
      <c r="D2588" s="1270" t="s">
        <v>1537</v>
      </c>
      <c r="E2588" s="1371"/>
      <c r="F2588" s="1371"/>
      <c r="G2588" s="1371"/>
      <c r="H2588" s="1371"/>
      <c r="I2588" s="1371"/>
      <c r="J2588" s="1371"/>
      <c r="K2588" s="1371"/>
      <c r="L2588" s="1372"/>
      <c r="M2588" s="1146"/>
      <c r="O2588" s="159"/>
      <c r="P2588" s="147"/>
      <c r="Q2588" s="149"/>
    </row>
    <row r="2589" spans="1:18" ht="30" customHeight="1">
      <c r="A2589" s="1406" t="s">
        <v>320</v>
      </c>
      <c r="B2589" s="1407"/>
      <c r="C2589" s="1408"/>
      <c r="D2589" s="1270" t="s">
        <v>1538</v>
      </c>
      <c r="E2589" s="1371"/>
      <c r="F2589" s="1371"/>
      <c r="G2589" s="1371"/>
      <c r="H2589" s="1371"/>
      <c r="I2589" s="1371"/>
      <c r="J2589" s="1371"/>
      <c r="K2589" s="1371"/>
      <c r="L2589" s="1372"/>
      <c r="M2589" s="1146"/>
      <c r="O2589" s="159"/>
      <c r="P2589" s="147"/>
      <c r="Q2589" s="149"/>
    </row>
    <row r="2590" spans="1:18" ht="30" customHeight="1">
      <c r="A2590" s="1406" t="s">
        <v>322</v>
      </c>
      <c r="B2590" s="1407"/>
      <c r="C2590" s="1408"/>
      <c r="D2590" s="1270" t="s">
        <v>1539</v>
      </c>
      <c r="E2590" s="1371"/>
      <c r="F2590" s="1371"/>
      <c r="G2590" s="1371"/>
      <c r="H2590" s="1371"/>
      <c r="I2590" s="1371"/>
      <c r="J2590" s="1371"/>
      <c r="K2590" s="1371"/>
      <c r="L2590" s="1372"/>
      <c r="M2590" s="1146"/>
      <c r="O2590" s="159"/>
      <c r="P2590" s="147"/>
      <c r="Q2590" s="149"/>
    </row>
    <row r="2591" spans="1:18" ht="30" customHeight="1">
      <c r="A2591" s="1406" t="s">
        <v>324</v>
      </c>
      <c r="B2591" s="1407"/>
      <c r="C2591" s="1408"/>
      <c r="D2591" s="1270" t="s">
        <v>1540</v>
      </c>
      <c r="E2591" s="1371"/>
      <c r="F2591" s="1371"/>
      <c r="G2591" s="1371"/>
      <c r="H2591" s="1371"/>
      <c r="I2591" s="1371"/>
      <c r="J2591" s="1371"/>
      <c r="K2591" s="1371"/>
      <c r="L2591" s="1372"/>
      <c r="M2591" s="1146"/>
      <c r="O2591" s="159"/>
      <c r="P2591" s="147"/>
      <c r="Q2591" s="149"/>
    </row>
    <row r="2592" spans="1:18" ht="75" customHeight="1">
      <c r="A2592" s="1406" t="s">
        <v>325</v>
      </c>
      <c r="B2592" s="1407"/>
      <c r="C2592" s="1408"/>
      <c r="D2592" s="1270" t="s">
        <v>391</v>
      </c>
      <c r="E2592" s="1371"/>
      <c r="F2592" s="1371"/>
      <c r="G2592" s="1371"/>
      <c r="H2592" s="1371"/>
      <c r="I2592" s="1371"/>
      <c r="J2592" s="1371"/>
      <c r="K2592" s="1371"/>
      <c r="L2592" s="1372"/>
      <c r="M2592" s="1146"/>
      <c r="O2592" s="159"/>
      <c r="P2592" s="147"/>
      <c r="Q2592" s="149"/>
    </row>
    <row r="2593" spans="1:24" ht="30" customHeight="1" thickBot="1">
      <c r="A2593" s="1406" t="s">
        <v>327</v>
      </c>
      <c r="B2593" s="1407"/>
      <c r="C2593" s="1408"/>
      <c r="D2593" s="1270" t="s">
        <v>1541</v>
      </c>
      <c r="E2593" s="1371"/>
      <c r="F2593" s="1371"/>
      <c r="G2593" s="1371"/>
      <c r="H2593" s="1371"/>
      <c r="I2593" s="1371"/>
      <c r="J2593" s="1371"/>
      <c r="K2593" s="1371"/>
      <c r="L2593" s="1372"/>
      <c r="M2593" s="1146"/>
      <c r="O2593" s="159"/>
      <c r="P2593" s="147"/>
      <c r="Q2593" s="149"/>
    </row>
    <row r="2594" spans="1:24" ht="30" customHeight="1" thickBot="1">
      <c r="A2594" s="1165"/>
      <c r="B2594" s="1166"/>
      <c r="C2594" s="1166"/>
      <c r="D2594" s="1166"/>
      <c r="E2594" s="1166"/>
      <c r="F2594" s="1166"/>
      <c r="G2594" s="1166"/>
      <c r="H2594" s="1166"/>
      <c r="I2594" s="1166"/>
      <c r="J2594" s="1166"/>
      <c r="K2594" s="1166"/>
      <c r="L2594" s="1167"/>
      <c r="M2594" s="1146"/>
      <c r="O2594" s="159"/>
      <c r="P2594" s="147"/>
      <c r="Q2594" s="149"/>
    </row>
    <row r="2595" spans="1:24" ht="30" customHeight="1">
      <c r="A2595" s="27" t="s">
        <v>280</v>
      </c>
      <c r="B2595" s="82">
        <v>7232</v>
      </c>
      <c r="C2595" s="1228" t="s">
        <v>1542</v>
      </c>
      <c r="D2595" s="1229"/>
      <c r="E2595" s="74" t="s">
        <v>282</v>
      </c>
      <c r="F2595" s="75" t="s">
        <v>8</v>
      </c>
      <c r="G2595" s="58" t="s">
        <v>290</v>
      </c>
      <c r="H2595" s="215">
        <v>1870</v>
      </c>
      <c r="I2595" s="74" t="s">
        <v>283</v>
      </c>
      <c r="J2595" s="1199" t="s">
        <v>2579</v>
      </c>
      <c r="K2595" s="1230"/>
      <c r="L2595" s="1231"/>
      <c r="M2595" s="1146"/>
      <c r="O2595" s="159"/>
      <c r="P2595" s="147"/>
      <c r="Q2595" s="149"/>
      <c r="T2595" s="34"/>
    </row>
    <row r="2596" spans="1:24" ht="30" customHeight="1">
      <c r="A2596" s="35" t="s">
        <v>293</v>
      </c>
      <c r="B2596" s="1232" t="s">
        <v>284</v>
      </c>
      <c r="C2596" s="1232"/>
      <c r="D2596" s="1232"/>
      <c r="E2596" s="78" t="s">
        <v>294</v>
      </c>
      <c r="F2596" s="96" t="s">
        <v>295</v>
      </c>
      <c r="G2596" s="77"/>
      <c r="H2596" s="77"/>
      <c r="I2596" s="1233" t="s">
        <v>426</v>
      </c>
      <c r="J2596" s="1234"/>
      <c r="K2596" s="1206" t="s">
        <v>297</v>
      </c>
      <c r="L2596" s="1207"/>
      <c r="M2596" s="1146"/>
      <c r="N2596" s="270"/>
      <c r="O2596" s="34"/>
      <c r="P2596" s="34"/>
      <c r="Q2596" s="34"/>
      <c r="R2596" s="44"/>
      <c r="S2596" s="44"/>
      <c r="T2596" s="44"/>
      <c r="U2596" s="34"/>
    </row>
    <row r="2597" spans="1:24" ht="30" customHeight="1">
      <c r="A2597" s="48" t="s">
        <v>298</v>
      </c>
      <c r="B2597" s="1362" t="s">
        <v>2748</v>
      </c>
      <c r="C2597" s="1363"/>
      <c r="D2597" s="1364"/>
      <c r="E2597" s="98">
        <v>150000</v>
      </c>
      <c r="F2597" s="99">
        <v>55</v>
      </c>
      <c r="G2597" s="100"/>
      <c r="H2597" s="101"/>
      <c r="I2597" s="1192" t="s">
        <v>2740</v>
      </c>
      <c r="J2597" s="1193"/>
      <c r="K2597" s="99">
        <f>+F2597</f>
        <v>55</v>
      </c>
      <c r="L2597" s="97" t="s">
        <v>8</v>
      </c>
      <c r="M2597" s="1146"/>
      <c r="N2597" s="85"/>
      <c r="P2597" s="34"/>
      <c r="Q2597" s="34"/>
      <c r="R2597" s="34"/>
      <c r="S2597" s="44"/>
      <c r="T2597" s="32"/>
      <c r="U2597" s="32"/>
      <c r="V2597" s="32"/>
      <c r="W2597" s="32"/>
      <c r="X2597" s="32"/>
    </row>
    <row r="2598" spans="1:24" s="32" customFormat="1" ht="30" customHeight="1" thickBot="1">
      <c r="A2598" s="45"/>
      <c r="B2598" s="1584"/>
      <c r="C2598" s="1585"/>
      <c r="D2598" s="1586"/>
      <c r="E2598" s="1623"/>
      <c r="F2598" s="1624"/>
      <c r="G2598" s="1624"/>
      <c r="H2598" s="1625"/>
      <c r="I2598" s="18"/>
      <c r="J2598" s="79" t="s">
        <v>289</v>
      </c>
      <c r="K2598" s="103">
        <f>+K2597</f>
        <v>55</v>
      </c>
      <c r="L2598" s="20" t="s">
        <v>8</v>
      </c>
      <c r="M2598" s="1146"/>
      <c r="N2598" s="25"/>
      <c r="O2598" s="33"/>
      <c r="T2598" s="38"/>
      <c r="U2598" s="38"/>
      <c r="V2598" s="38"/>
      <c r="W2598" s="38"/>
      <c r="X2598" s="38"/>
    </row>
    <row r="2599" spans="1:24" s="38" customFormat="1" ht="30" customHeight="1" thickBot="1">
      <c r="A2599" s="1165"/>
      <c r="B2599" s="1166"/>
      <c r="C2599" s="1166"/>
      <c r="D2599" s="1166"/>
      <c r="E2599" s="1166"/>
      <c r="F2599" s="1166"/>
      <c r="G2599" s="1166"/>
      <c r="H2599" s="1166"/>
      <c r="I2599" s="1166"/>
      <c r="J2599" s="1166"/>
      <c r="K2599" s="1166"/>
      <c r="L2599" s="1167"/>
      <c r="M2599" s="1146"/>
      <c r="N2599" s="193"/>
      <c r="O2599" s="1119"/>
      <c r="T2599"/>
      <c r="U2599"/>
      <c r="V2599"/>
      <c r="W2599"/>
      <c r="X2599"/>
    </row>
    <row r="2600" spans="1:24" ht="30" customHeight="1">
      <c r="A2600" s="27" t="s">
        <v>280</v>
      </c>
      <c r="B2600" s="82">
        <v>7233</v>
      </c>
      <c r="C2600" s="1197" t="s">
        <v>1543</v>
      </c>
      <c r="D2600" s="1198"/>
      <c r="E2600" s="74" t="s">
        <v>282</v>
      </c>
      <c r="F2600" s="75" t="s">
        <v>8</v>
      </c>
      <c r="G2600" s="58" t="s">
        <v>290</v>
      </c>
      <c r="H2600" s="215">
        <v>4133</v>
      </c>
      <c r="I2600" s="74" t="s">
        <v>283</v>
      </c>
      <c r="J2600" s="1199" t="s">
        <v>2529</v>
      </c>
      <c r="K2600" s="1199"/>
      <c r="L2600" s="1200"/>
      <c r="M2600" s="1146"/>
      <c r="N2600" s="125"/>
      <c r="T2600" s="44"/>
      <c r="U2600" s="34"/>
    </row>
    <row r="2601" spans="1:24" ht="30" customHeight="1">
      <c r="A2601" s="37" t="s">
        <v>304</v>
      </c>
      <c r="B2601" s="1201" t="s">
        <v>330</v>
      </c>
      <c r="C2601" s="1202"/>
      <c r="D2601" s="1203"/>
      <c r="E2601" s="150" t="s">
        <v>295</v>
      </c>
      <c r="F2601" s="150" t="s">
        <v>331</v>
      </c>
      <c r="G2601" s="1204" t="s">
        <v>332</v>
      </c>
      <c r="H2601" s="1205"/>
      <c r="I2601" s="77" t="s">
        <v>305</v>
      </c>
      <c r="J2601" s="77"/>
      <c r="K2601" s="1206" t="s">
        <v>297</v>
      </c>
      <c r="L2601" s="1207"/>
      <c r="M2601" s="1146"/>
      <c r="P2601" s="34"/>
      <c r="Q2601" s="34"/>
      <c r="R2601" s="34"/>
      <c r="S2601" s="44"/>
      <c r="T2601" s="44"/>
      <c r="U2601" s="34"/>
    </row>
    <row r="2602" spans="1:24" ht="30" customHeight="1">
      <c r="A2602" s="45" t="s">
        <v>1544</v>
      </c>
      <c r="B2602" s="1179" t="s">
        <v>1545</v>
      </c>
      <c r="C2602" s="1180"/>
      <c r="D2602" s="1181"/>
      <c r="E2602" s="153">
        <v>113.66</v>
      </c>
      <c r="F2602" s="20" t="s">
        <v>8</v>
      </c>
      <c r="G2602" s="206"/>
      <c r="H2602" s="20"/>
      <c r="I2602" s="20">
        <v>1.05</v>
      </c>
      <c r="J2602" s="20"/>
      <c r="K2602" s="153">
        <f>+E2602*I2602</f>
        <v>119.343</v>
      </c>
      <c r="L2602" s="20" t="s">
        <v>8</v>
      </c>
      <c r="M2602" s="1146"/>
      <c r="P2602" s="34"/>
      <c r="Q2602" s="34"/>
      <c r="R2602" s="34"/>
      <c r="S2602" s="44"/>
      <c r="T2602" s="32"/>
      <c r="U2602" s="32"/>
      <c r="V2602" s="32"/>
      <c r="W2602" s="32"/>
      <c r="X2602" s="32"/>
    </row>
    <row r="2603" spans="1:24" s="32" customFormat="1" ht="30" customHeight="1">
      <c r="A2603" s="45" t="s">
        <v>1416</v>
      </c>
      <c r="B2603" s="1179" t="s">
        <v>1436</v>
      </c>
      <c r="C2603" s="1180"/>
      <c r="D2603" s="1180"/>
      <c r="E2603" s="153">
        <v>3.74</v>
      </c>
      <c r="F2603" s="20" t="s">
        <v>8</v>
      </c>
      <c r="G2603" s="395"/>
      <c r="H2603" s="329"/>
      <c r="I2603" s="20">
        <v>1.05</v>
      </c>
      <c r="J2603" s="20"/>
      <c r="K2603" s="153">
        <f>+E2603*I2603</f>
        <v>3.9270000000000005</v>
      </c>
      <c r="L2603" s="20" t="s">
        <v>8</v>
      </c>
      <c r="M2603" s="1146"/>
      <c r="N2603" s="25"/>
      <c r="O2603" s="33"/>
      <c r="T2603" s="38"/>
      <c r="U2603" s="38"/>
      <c r="V2603" s="38"/>
      <c r="W2603" s="38"/>
      <c r="X2603" s="38"/>
    </row>
    <row r="2604" spans="1:24" s="38" customFormat="1" ht="30" customHeight="1">
      <c r="A2604" s="45"/>
      <c r="B2604" s="1224"/>
      <c r="C2604" s="1224"/>
      <c r="D2604" s="1224"/>
      <c r="E2604" s="153"/>
      <c r="F2604" s="20"/>
      <c r="G2604" s="395"/>
      <c r="H2604" s="329"/>
      <c r="I2604" s="20"/>
      <c r="J2604" s="20" t="s">
        <v>346</v>
      </c>
      <c r="K2604" s="153">
        <f>SUM(K2602:K2603)</f>
        <v>123.27000000000001</v>
      </c>
      <c r="L2604" s="20" t="s">
        <v>8</v>
      </c>
      <c r="M2604" s="1146"/>
      <c r="N2604" s="193"/>
      <c r="O2604" s="1119"/>
      <c r="T2604"/>
      <c r="U2604"/>
      <c r="V2604"/>
      <c r="W2604"/>
      <c r="X2604"/>
    </row>
    <row r="2605" spans="1:24" ht="30" customHeight="1">
      <c r="A2605" s="45"/>
      <c r="B2605" s="157"/>
      <c r="C2605" s="157"/>
      <c r="D2605" s="157"/>
      <c r="E2605" s="153"/>
      <c r="F2605" s="1174" t="s">
        <v>308</v>
      </c>
      <c r="G2605" s="1208" t="s">
        <v>309</v>
      </c>
      <c r="H2605" s="1208"/>
      <c r="I2605" s="1208"/>
      <c r="J2605" s="1208"/>
      <c r="K2605" s="123">
        <v>1.06</v>
      </c>
      <c r="L2605" s="10"/>
      <c r="M2605" s="1146"/>
      <c r="N2605" s="125"/>
      <c r="T2605" s="44"/>
      <c r="U2605" s="34"/>
    </row>
    <row r="2606" spans="1:24" ht="30" customHeight="1">
      <c r="A2606" s="45"/>
      <c r="B2606" s="157"/>
      <c r="C2606" s="157"/>
      <c r="D2606" s="157"/>
      <c r="E2606" s="153"/>
      <c r="F2606" s="1175"/>
      <c r="G2606" s="1209" t="s">
        <v>310</v>
      </c>
      <c r="H2606" s="1209"/>
      <c r="I2606" s="1209"/>
      <c r="J2606" s="1209"/>
      <c r="K2606" s="123">
        <v>1.07</v>
      </c>
      <c r="L2606" s="10"/>
      <c r="M2606" s="1146"/>
      <c r="P2606" s="34"/>
      <c r="Q2606" s="34"/>
      <c r="R2606" s="34"/>
      <c r="S2606" s="44"/>
      <c r="T2606" s="44"/>
      <c r="U2606" s="34"/>
    </row>
    <row r="2607" spans="1:24" ht="30" customHeight="1">
      <c r="A2607" s="45"/>
      <c r="B2607" s="20"/>
      <c r="C2607" s="18"/>
      <c r="D2607" s="18"/>
      <c r="E2607" s="18"/>
      <c r="F2607" s="18"/>
      <c r="G2607" s="18"/>
      <c r="H2607" s="18"/>
      <c r="I2607" s="18"/>
      <c r="J2607" s="20" t="s">
        <v>289</v>
      </c>
      <c r="K2607" s="23">
        <f>+K2604*K2605/K2606</f>
        <v>122.11794392523365</v>
      </c>
      <c r="L2607" s="20" t="s">
        <v>8</v>
      </c>
      <c r="M2607" s="1146"/>
      <c r="P2607" s="34"/>
      <c r="Q2607" s="34"/>
      <c r="R2607" s="34"/>
      <c r="S2607" s="44"/>
      <c r="U2607" s="34"/>
    </row>
    <row r="2608" spans="1:24" ht="30" customHeight="1" thickBot="1">
      <c r="A2608" s="45"/>
      <c r="B2608" s="20"/>
      <c r="C2608" s="18"/>
      <c r="D2608" s="18"/>
      <c r="E2608" s="18"/>
      <c r="F2608" s="18"/>
      <c r="G2608" s="160" t="s">
        <v>312</v>
      </c>
      <c r="H2608" s="18"/>
      <c r="I2608" s="18"/>
      <c r="J2608" s="139">
        <f>VLOOKUP(B2600,'Mil Cost Premiums for RUCs'!$A$4:$R$266,18,FALSE)</f>
        <v>1.0569712645049996</v>
      </c>
      <c r="K2608" s="23">
        <f>+K2607*J2608</f>
        <v>129.07515760940484</v>
      </c>
      <c r="L2608" s="20" t="s">
        <v>8</v>
      </c>
      <c r="M2608" s="1146"/>
      <c r="N2608" s="612"/>
      <c r="T2608" s="84"/>
      <c r="U2608" s="38"/>
      <c r="V2608" s="38"/>
      <c r="W2608" s="38"/>
      <c r="X2608" s="38"/>
    </row>
    <row r="2609" spans="1:24" s="38" customFormat="1" ht="30" customHeight="1" thickBot="1">
      <c r="A2609" s="1165"/>
      <c r="B2609" s="1166"/>
      <c r="C2609" s="1166"/>
      <c r="D2609" s="1166"/>
      <c r="E2609" s="1166"/>
      <c r="F2609" s="1166"/>
      <c r="G2609" s="1166"/>
      <c r="H2609" s="1166"/>
      <c r="I2609" s="1166"/>
      <c r="J2609" s="1166"/>
      <c r="K2609" s="1166"/>
      <c r="L2609" s="1167"/>
      <c r="M2609" s="1146"/>
      <c r="N2609" s="193"/>
      <c r="O2609" s="1119"/>
      <c r="P2609" s="39"/>
      <c r="Q2609" s="39"/>
      <c r="R2609" s="39"/>
      <c r="S2609" s="84"/>
      <c r="T2609" s="44"/>
      <c r="U2609"/>
      <c r="V2609"/>
      <c r="W2609"/>
      <c r="X2609"/>
    </row>
    <row r="2610" spans="1:24" ht="30" customHeight="1">
      <c r="A2610" s="27" t="s">
        <v>280</v>
      </c>
      <c r="B2610" s="82">
        <v>7234</v>
      </c>
      <c r="C2610" s="1197" t="s">
        <v>1546</v>
      </c>
      <c r="D2610" s="1198"/>
      <c r="E2610" s="74" t="s">
        <v>282</v>
      </c>
      <c r="F2610" s="75" t="s">
        <v>8</v>
      </c>
      <c r="G2610" s="58" t="s">
        <v>290</v>
      </c>
      <c r="H2610" s="145">
        <v>661</v>
      </c>
      <c r="I2610" s="74" t="s">
        <v>283</v>
      </c>
      <c r="J2610" s="1199" t="s">
        <v>2529</v>
      </c>
      <c r="K2610" s="1199"/>
      <c r="L2610" s="1200"/>
      <c r="M2610" s="1146"/>
      <c r="P2610" s="34"/>
      <c r="Q2610" s="34"/>
      <c r="R2610" s="34"/>
      <c r="S2610" s="44"/>
    </row>
    <row r="2611" spans="1:24" ht="30" customHeight="1">
      <c r="A2611" s="37" t="s">
        <v>304</v>
      </c>
      <c r="B2611" s="1201" t="s">
        <v>330</v>
      </c>
      <c r="C2611" s="1202"/>
      <c r="D2611" s="1203"/>
      <c r="E2611" s="150" t="s">
        <v>295</v>
      </c>
      <c r="F2611" s="150" t="s">
        <v>331</v>
      </c>
      <c r="G2611" s="1204" t="s">
        <v>332</v>
      </c>
      <c r="H2611" s="1205"/>
      <c r="I2611" s="77" t="s">
        <v>305</v>
      </c>
      <c r="J2611" s="77"/>
      <c r="K2611" s="1206" t="s">
        <v>297</v>
      </c>
      <c r="L2611" s="1207"/>
      <c r="M2611" s="1146"/>
      <c r="N2611" s="612"/>
      <c r="O2611"/>
      <c r="P2611" s="159"/>
      <c r="Q2611" s="147"/>
      <c r="R2611" s="149"/>
    </row>
    <row r="2612" spans="1:24" ht="30" customHeight="1">
      <c r="A2612" s="45" t="s">
        <v>571</v>
      </c>
      <c r="B2612" s="1179" t="s">
        <v>1547</v>
      </c>
      <c r="C2612" s="1180"/>
      <c r="D2612" s="1181"/>
      <c r="E2612" s="153">
        <v>133</v>
      </c>
      <c r="F2612" s="22" t="s">
        <v>8</v>
      </c>
      <c r="G2612" s="521"/>
      <c r="H2612" s="333"/>
      <c r="I2612" s="20">
        <v>1.08</v>
      </c>
      <c r="J2612" s="20"/>
      <c r="K2612" s="153">
        <f>+E2612*I2612</f>
        <v>143.64000000000001</v>
      </c>
      <c r="L2612" s="20" t="s">
        <v>8</v>
      </c>
      <c r="M2612" s="1146"/>
      <c r="O2612"/>
      <c r="P2612" s="159"/>
      <c r="Q2612" s="147"/>
      <c r="R2612" s="149"/>
    </row>
    <row r="2613" spans="1:24" ht="30" customHeight="1">
      <c r="A2613" s="45" t="s">
        <v>574</v>
      </c>
      <c r="B2613" s="1267" t="s">
        <v>1548</v>
      </c>
      <c r="C2613" s="1267"/>
      <c r="D2613" s="1267"/>
      <c r="E2613" s="153">
        <v>4.49</v>
      </c>
      <c r="F2613" s="20" t="s">
        <v>8</v>
      </c>
      <c r="G2613" s="20"/>
      <c r="H2613" s="20"/>
      <c r="I2613" s="20">
        <v>1.08</v>
      </c>
      <c r="J2613" s="20"/>
      <c r="K2613" s="153">
        <f>+E2613*I2613</f>
        <v>4.8492000000000006</v>
      </c>
      <c r="L2613" s="20" t="s">
        <v>8</v>
      </c>
      <c r="M2613" s="1146"/>
      <c r="O2613" s="159"/>
      <c r="P2613" s="147"/>
      <c r="Q2613" s="149"/>
      <c r="T2613" s="38"/>
      <c r="U2613" s="38"/>
      <c r="V2613" s="38"/>
      <c r="W2613" s="38"/>
      <c r="X2613" s="38"/>
    </row>
    <row r="2614" spans="1:24" s="38" customFormat="1" ht="30" customHeight="1">
      <c r="A2614" s="629"/>
      <c r="B2614" s="1267"/>
      <c r="C2614" s="1267"/>
      <c r="D2614" s="1267"/>
      <c r="E2614" s="153"/>
      <c r="F2614" s="20"/>
      <c r="G2614" s="206"/>
      <c r="H2614" s="20"/>
      <c r="I2614" s="20"/>
      <c r="J2614" s="20" t="s">
        <v>346</v>
      </c>
      <c r="K2614" s="153">
        <f>SUM(K2612:K2613)</f>
        <v>148.48920000000001</v>
      </c>
      <c r="L2614" s="20" t="s">
        <v>8</v>
      </c>
      <c r="M2614" s="1146"/>
      <c r="N2614" s="193"/>
      <c r="O2614" s="159"/>
      <c r="P2614" s="147"/>
      <c r="Q2614" s="149"/>
      <c r="T2614"/>
      <c r="U2614"/>
      <c r="V2614"/>
      <c r="W2614"/>
      <c r="X2614"/>
    </row>
    <row r="2615" spans="1:24" ht="30" customHeight="1">
      <c r="A2615" s="45"/>
      <c r="B2615" s="157"/>
      <c r="C2615" s="157"/>
      <c r="D2615" s="157"/>
      <c r="E2615" s="153"/>
      <c r="F2615" s="1174" t="s">
        <v>308</v>
      </c>
      <c r="G2615" s="1208" t="s">
        <v>309</v>
      </c>
      <c r="H2615" s="1208"/>
      <c r="I2615" s="1208"/>
      <c r="J2615" s="1208"/>
      <c r="K2615" s="123">
        <v>1.06</v>
      </c>
      <c r="L2615" s="10"/>
      <c r="M2615" s="1146"/>
      <c r="O2615" s="159"/>
      <c r="P2615" s="147"/>
      <c r="Q2615" s="149"/>
    </row>
    <row r="2616" spans="1:24" ht="30" customHeight="1">
      <c r="A2616" s="45"/>
      <c r="B2616" s="157"/>
      <c r="C2616" s="157"/>
      <c r="D2616" s="157"/>
      <c r="E2616" s="153"/>
      <c r="F2616" s="1175"/>
      <c r="G2616" s="1209" t="s">
        <v>310</v>
      </c>
      <c r="H2616" s="1209"/>
      <c r="I2616" s="1209"/>
      <c r="J2616" s="1209"/>
      <c r="K2616" s="123">
        <v>1.07</v>
      </c>
      <c r="L2616" s="10"/>
      <c r="M2616" s="1146"/>
      <c r="O2616" s="159"/>
      <c r="P2616" s="147"/>
      <c r="Q2616" s="149"/>
    </row>
    <row r="2617" spans="1:24" ht="30" customHeight="1">
      <c r="A2617" s="45"/>
      <c r="B2617" s="20"/>
      <c r="C2617" s="18"/>
      <c r="D2617" s="18"/>
      <c r="E2617" s="18"/>
      <c r="F2617" s="18"/>
      <c r="G2617" s="18"/>
      <c r="H2617" s="18"/>
      <c r="I2617" s="18"/>
      <c r="J2617" s="18" t="s">
        <v>289</v>
      </c>
      <c r="K2617" s="23">
        <f>+K2614*K2615/K2616</f>
        <v>147.10145046728974</v>
      </c>
      <c r="L2617" s="20" t="s">
        <v>8</v>
      </c>
      <c r="M2617" s="1146"/>
      <c r="O2617" s="159"/>
      <c r="P2617" s="147"/>
      <c r="Q2617" s="149"/>
    </row>
    <row r="2618" spans="1:24" ht="30" customHeight="1" thickBot="1">
      <c r="A2618" s="45"/>
      <c r="B2618" s="20"/>
      <c r="C2618" s="18"/>
      <c r="D2618" s="18"/>
      <c r="E2618" s="18"/>
      <c r="F2618" s="18"/>
      <c r="G2618" s="160" t="s">
        <v>312</v>
      </c>
      <c r="H2618" s="18"/>
      <c r="I2618" s="18"/>
      <c r="J2618" s="139">
        <f>VLOOKUP(B2610,'Mil Cost Premiums for RUCs'!$A$4:$R$266,18,FALSE)</f>
        <v>1.1675459237447372</v>
      </c>
      <c r="K2618" s="23">
        <f>+K2617*J2618</f>
        <v>171.7476988700225</v>
      </c>
      <c r="L2618" s="20" t="s">
        <v>8</v>
      </c>
      <c r="M2618" s="1146"/>
      <c r="O2618" s="159"/>
      <c r="P2618" s="147"/>
      <c r="Q2618" s="149"/>
    </row>
    <row r="2619" spans="1:24" ht="30" customHeight="1" thickBot="1">
      <c r="A2619" s="1165"/>
      <c r="B2619" s="1166"/>
      <c r="C2619" s="1166"/>
      <c r="D2619" s="1166"/>
      <c r="E2619" s="1166"/>
      <c r="F2619" s="1166"/>
      <c r="G2619" s="1166"/>
      <c r="H2619" s="1166"/>
      <c r="I2619" s="1166"/>
      <c r="J2619" s="1166"/>
      <c r="K2619" s="1166"/>
      <c r="L2619" s="1167"/>
      <c r="M2619" s="1146"/>
      <c r="O2619" s="159"/>
      <c r="P2619" s="147"/>
      <c r="Q2619" s="149"/>
    </row>
    <row r="2620" spans="1:24" ht="30" customHeight="1">
      <c r="A2620" s="27" t="s">
        <v>280</v>
      </c>
      <c r="B2620" s="82">
        <v>7235</v>
      </c>
      <c r="C2620" s="1197" t="s">
        <v>1549</v>
      </c>
      <c r="D2620" s="1198"/>
      <c r="E2620" s="74" t="s">
        <v>282</v>
      </c>
      <c r="F2620" s="75" t="s">
        <v>10</v>
      </c>
      <c r="G2620" s="91" t="s">
        <v>281</v>
      </c>
      <c r="H2620" s="145">
        <v>1</v>
      </c>
      <c r="I2620" s="74" t="s">
        <v>283</v>
      </c>
      <c r="J2620" s="1199" t="s">
        <v>2529</v>
      </c>
      <c r="K2620" s="1199"/>
      <c r="L2620" s="1200"/>
      <c r="M2620" s="1146"/>
      <c r="O2620" s="159"/>
      <c r="P2620" s="147"/>
      <c r="Q2620" s="149"/>
    </row>
    <row r="2621" spans="1:24" ht="30" customHeight="1">
      <c r="A2621" s="37" t="s">
        <v>304</v>
      </c>
      <c r="B2621" s="1201" t="s">
        <v>330</v>
      </c>
      <c r="C2621" s="1202"/>
      <c r="D2621" s="1203"/>
      <c r="E2621" s="150" t="s">
        <v>295</v>
      </c>
      <c r="F2621" s="150" t="s">
        <v>331</v>
      </c>
      <c r="G2621" s="1204" t="s">
        <v>332</v>
      </c>
      <c r="H2621" s="1205"/>
      <c r="I2621" s="77" t="s">
        <v>305</v>
      </c>
      <c r="J2621" s="77"/>
      <c r="K2621" s="1206" t="s">
        <v>297</v>
      </c>
      <c r="L2621" s="1207"/>
      <c r="M2621" s="1146"/>
      <c r="O2621" s="159"/>
      <c r="P2621" s="147"/>
      <c r="Q2621" s="149"/>
    </row>
    <row r="2622" spans="1:24" ht="30" customHeight="1">
      <c r="A2622" s="45" t="s">
        <v>1550</v>
      </c>
      <c r="B2622" s="1267" t="s">
        <v>1551</v>
      </c>
      <c r="C2622" s="1267"/>
      <c r="D2622" s="1267"/>
      <c r="E2622" s="153">
        <v>39.72</v>
      </c>
      <c r="F2622" s="20" t="s">
        <v>8</v>
      </c>
      <c r="G2622" s="20">
        <v>200</v>
      </c>
      <c r="H2622" s="20" t="s">
        <v>334</v>
      </c>
      <c r="I2622" s="20">
        <v>1.06</v>
      </c>
      <c r="J2622" s="20"/>
      <c r="K2622" s="153">
        <f>+E2622*I2622*G2622</f>
        <v>8420.64</v>
      </c>
      <c r="L2622" s="20" t="s">
        <v>10</v>
      </c>
      <c r="M2622" s="1146"/>
      <c r="O2622" s="159"/>
      <c r="P2622" s="147"/>
      <c r="Q2622" s="149"/>
    </row>
    <row r="2623" spans="1:24" ht="30" customHeight="1">
      <c r="A2623" s="45"/>
      <c r="B2623" s="1267" t="s">
        <v>2749</v>
      </c>
      <c r="C2623" s="1267"/>
      <c r="D2623" s="1267"/>
      <c r="E2623" s="153"/>
      <c r="F2623" s="20"/>
      <c r="G2623" s="20"/>
      <c r="H2623" s="20"/>
      <c r="I2623" s="20"/>
      <c r="J2623" s="20"/>
      <c r="K2623" s="153"/>
      <c r="L2623" s="20"/>
      <c r="M2623" s="1146"/>
      <c r="O2623" s="159"/>
      <c r="P2623" s="147"/>
      <c r="Q2623" s="149"/>
    </row>
    <row r="2624" spans="1:24" ht="30" customHeight="1">
      <c r="A2624" s="45"/>
      <c r="B2624" s="157"/>
      <c r="C2624" s="157"/>
      <c r="D2624" s="157"/>
      <c r="E2624" s="153"/>
      <c r="F2624" s="1174" t="s">
        <v>308</v>
      </c>
      <c r="G2624" s="1208" t="s">
        <v>309</v>
      </c>
      <c r="H2624" s="1208"/>
      <c r="I2624" s="1208"/>
      <c r="J2624" s="1208"/>
      <c r="K2624" s="123">
        <v>1.06</v>
      </c>
      <c r="L2624" s="10"/>
      <c r="M2624" s="1146"/>
      <c r="N2624" s="282"/>
      <c r="O2624" s="34"/>
      <c r="P2624" s="283"/>
      <c r="Q2624" s="282"/>
      <c r="R2624" s="284"/>
    </row>
    <row r="2625" spans="1:24" ht="30" customHeight="1">
      <c r="A2625" s="45"/>
      <c r="B2625" s="157"/>
      <c r="C2625" s="157"/>
      <c r="D2625" s="157"/>
      <c r="E2625" s="153"/>
      <c r="F2625" s="1175"/>
      <c r="G2625" s="1209" t="s">
        <v>310</v>
      </c>
      <c r="H2625" s="1209"/>
      <c r="I2625" s="1209"/>
      <c r="J2625" s="1209"/>
      <c r="K2625" s="123">
        <v>1.07</v>
      </c>
      <c r="L2625" s="10"/>
      <c r="M2625" s="1146"/>
      <c r="N2625" s="282"/>
      <c r="O2625" s="34"/>
      <c r="P2625" s="283"/>
      <c r="Q2625" s="282"/>
      <c r="R2625" s="284"/>
    </row>
    <row r="2626" spans="1:24" ht="30" customHeight="1">
      <c r="A2626" s="45"/>
      <c r="B2626" s="20"/>
      <c r="C2626" s="18"/>
      <c r="D2626" s="18"/>
      <c r="E2626" s="18"/>
      <c r="F2626" s="18"/>
      <c r="G2626" s="18"/>
      <c r="H2626" s="18"/>
      <c r="I2626" s="18"/>
      <c r="J2626" s="18" t="s">
        <v>289</v>
      </c>
      <c r="K2626" s="23">
        <f>+K2622*K2624/K2625</f>
        <v>8341.9424299065413</v>
      </c>
      <c r="L2626" s="20" t="s">
        <v>10</v>
      </c>
      <c r="M2626" s="1146"/>
      <c r="O2626" s="159"/>
      <c r="P2626" s="147"/>
      <c r="Q2626" s="149"/>
    </row>
    <row r="2627" spans="1:24" ht="30" customHeight="1" thickBot="1">
      <c r="A2627" s="45"/>
      <c r="B2627" s="20"/>
      <c r="C2627" s="18"/>
      <c r="D2627" s="18"/>
      <c r="E2627" s="18"/>
      <c r="F2627" s="18"/>
      <c r="G2627" s="160" t="s">
        <v>312</v>
      </c>
      <c r="H2627" s="18"/>
      <c r="I2627" s="18"/>
      <c r="J2627" s="139">
        <f>VLOOKUP(B2620,'Mil Cost Premiums for RUCs'!$A$4:$R$266,18,FALSE)</f>
        <v>1.0209999999999999</v>
      </c>
      <c r="K2627" s="23">
        <f>+K2626*J2627</f>
        <v>8517.1232209345781</v>
      </c>
      <c r="L2627" s="20" t="s">
        <v>10</v>
      </c>
      <c r="M2627" s="1146"/>
      <c r="O2627" s="159"/>
      <c r="P2627" s="147"/>
      <c r="Q2627" s="149"/>
    </row>
    <row r="2628" spans="1:24" ht="30" customHeight="1" thickBot="1">
      <c r="A2628" s="1165"/>
      <c r="B2628" s="1166"/>
      <c r="C2628" s="1166"/>
      <c r="D2628" s="1166"/>
      <c r="E2628" s="1166"/>
      <c r="F2628" s="1166"/>
      <c r="G2628" s="1166"/>
      <c r="H2628" s="1166"/>
      <c r="I2628" s="1166"/>
      <c r="J2628" s="1166"/>
      <c r="K2628" s="1166"/>
      <c r="L2628" s="1167"/>
      <c r="M2628" s="1146"/>
      <c r="N2628" s="1103"/>
      <c r="O2628"/>
      <c r="P2628" s="159"/>
      <c r="Q2628" s="147"/>
      <c r="R2628" s="149"/>
    </row>
    <row r="2629" spans="1:24" ht="30" customHeight="1">
      <c r="A2629" s="27" t="s">
        <v>280</v>
      </c>
      <c r="B2629" s="82">
        <v>7240</v>
      </c>
      <c r="C2629" s="1228" t="s">
        <v>1552</v>
      </c>
      <c r="D2629" s="1229"/>
      <c r="E2629" s="74" t="s">
        <v>282</v>
      </c>
      <c r="F2629" s="75" t="s">
        <v>8</v>
      </c>
      <c r="G2629" s="58" t="s">
        <v>290</v>
      </c>
      <c r="H2629" s="336">
        <v>17788</v>
      </c>
      <c r="I2629" s="74" t="s">
        <v>283</v>
      </c>
      <c r="J2629" s="1199" t="s">
        <v>1411</v>
      </c>
      <c r="K2629" s="1230"/>
      <c r="L2629" s="1231"/>
      <c r="M2629" s="1146"/>
      <c r="N2629" s="1103"/>
      <c r="O2629"/>
      <c r="P2629" s="159"/>
      <c r="Q2629" s="147"/>
      <c r="R2629" s="149"/>
    </row>
    <row r="2630" spans="1:24" ht="30" customHeight="1">
      <c r="A2630" s="35" t="s">
        <v>293</v>
      </c>
      <c r="B2630" s="1232" t="s">
        <v>284</v>
      </c>
      <c r="C2630" s="1232"/>
      <c r="D2630" s="1232"/>
      <c r="E2630" s="78" t="s">
        <v>294</v>
      </c>
      <c r="F2630" s="96" t="s">
        <v>295</v>
      </c>
      <c r="G2630" s="77"/>
      <c r="H2630" s="77"/>
      <c r="I2630" s="1233" t="s">
        <v>441</v>
      </c>
      <c r="J2630" s="1234"/>
      <c r="K2630" s="1206" t="s">
        <v>297</v>
      </c>
      <c r="L2630" s="1207"/>
      <c r="M2630" s="1146"/>
      <c r="N2630" s="1103"/>
      <c r="O2630"/>
      <c r="P2630" s="159"/>
      <c r="Q2630" s="147"/>
      <c r="R2630" s="149"/>
    </row>
    <row r="2631" spans="1:24" ht="30" customHeight="1">
      <c r="A2631" s="48" t="s">
        <v>298</v>
      </c>
      <c r="B2631" s="1222" t="s">
        <v>1553</v>
      </c>
      <c r="C2631" s="1222"/>
      <c r="D2631" s="1222"/>
      <c r="E2631" s="98">
        <v>97000</v>
      </c>
      <c r="F2631" s="99">
        <v>258</v>
      </c>
      <c r="G2631" s="100"/>
      <c r="H2631" s="101"/>
      <c r="I2631" s="1192">
        <f>+'2019 MILCON Inflation Table'!F13</f>
        <v>1.0963107786467188</v>
      </c>
      <c r="J2631" s="1193"/>
      <c r="K2631" s="99">
        <f>+F2631*I2631</f>
        <v>282.84818089085343</v>
      </c>
      <c r="L2631" s="97" t="s">
        <v>8</v>
      </c>
      <c r="M2631" s="1146"/>
      <c r="N2631" s="1103"/>
      <c r="O2631"/>
      <c r="P2631" s="159"/>
      <c r="Q2631" s="147"/>
      <c r="R2631" s="149"/>
    </row>
    <row r="2632" spans="1:24" ht="30" customHeight="1" thickBot="1">
      <c r="A2632" s="45"/>
      <c r="B2632" s="1224"/>
      <c r="C2632" s="1224"/>
      <c r="D2632" s="1224"/>
      <c r="E2632" s="1225"/>
      <c r="F2632" s="1226"/>
      <c r="G2632" s="1226"/>
      <c r="H2632" s="1227"/>
      <c r="I2632" s="18"/>
      <c r="J2632" s="79" t="s">
        <v>289</v>
      </c>
      <c r="K2632" s="103">
        <f>+K2631</f>
        <v>282.84818089085343</v>
      </c>
      <c r="L2632" s="20" t="s">
        <v>8</v>
      </c>
      <c r="M2632" s="1146"/>
      <c r="N2632" s="1103"/>
      <c r="O2632"/>
      <c r="P2632" s="159"/>
      <c r="Q2632" s="147"/>
      <c r="R2632" s="149"/>
    </row>
    <row r="2633" spans="1:24" ht="30" customHeight="1" thickBot="1">
      <c r="A2633" s="1165"/>
      <c r="B2633" s="1166"/>
      <c r="C2633" s="1166"/>
      <c r="D2633" s="1166"/>
      <c r="E2633" s="1166"/>
      <c r="F2633" s="1166"/>
      <c r="G2633" s="1166"/>
      <c r="H2633" s="1166"/>
      <c r="I2633" s="1166"/>
      <c r="J2633" s="1166"/>
      <c r="K2633" s="1166"/>
      <c r="L2633" s="1167"/>
      <c r="M2633" s="1146"/>
      <c r="N2633" s="1103"/>
      <c r="O2633"/>
      <c r="P2633" s="159"/>
      <c r="Q2633" s="147"/>
      <c r="R2633" s="149"/>
    </row>
    <row r="2634" spans="1:24" ht="30" customHeight="1">
      <c r="A2634" s="27" t="s">
        <v>280</v>
      </c>
      <c r="B2634" s="82">
        <v>7241</v>
      </c>
      <c r="C2634" s="1228" t="s">
        <v>1554</v>
      </c>
      <c r="D2634" s="1229"/>
      <c r="E2634" s="74" t="s">
        <v>282</v>
      </c>
      <c r="F2634" s="75" t="s">
        <v>8</v>
      </c>
      <c r="G2634" s="58" t="s">
        <v>290</v>
      </c>
      <c r="H2634" s="336">
        <v>11358</v>
      </c>
      <c r="I2634" s="74" t="s">
        <v>283</v>
      </c>
      <c r="J2634" s="1199" t="s">
        <v>1411</v>
      </c>
      <c r="K2634" s="1230"/>
      <c r="L2634" s="1231"/>
      <c r="M2634" s="1146"/>
      <c r="N2634" s="1103"/>
      <c r="O2634"/>
      <c r="P2634" s="159"/>
      <c r="Q2634" s="147"/>
      <c r="R2634" s="149"/>
    </row>
    <row r="2635" spans="1:24" ht="30" customHeight="1">
      <c r="A2635" s="35" t="s">
        <v>293</v>
      </c>
      <c r="B2635" s="1232" t="s">
        <v>284</v>
      </c>
      <c r="C2635" s="1232"/>
      <c r="D2635" s="1232"/>
      <c r="E2635" s="78" t="s">
        <v>294</v>
      </c>
      <c r="F2635" s="96" t="s">
        <v>295</v>
      </c>
      <c r="G2635" s="77"/>
      <c r="H2635" s="77"/>
      <c r="I2635" s="1233" t="s">
        <v>426</v>
      </c>
      <c r="J2635" s="1234"/>
      <c r="K2635" s="1206" t="s">
        <v>297</v>
      </c>
      <c r="L2635" s="1207"/>
      <c r="M2635" s="1146"/>
      <c r="N2635" s="1103"/>
      <c r="O2635"/>
      <c r="P2635" s="159"/>
      <c r="Q2635" s="147"/>
      <c r="R2635" s="149"/>
    </row>
    <row r="2636" spans="1:24" ht="30" customHeight="1">
      <c r="A2636" s="48" t="s">
        <v>298</v>
      </c>
      <c r="B2636" s="1222" t="s">
        <v>1553</v>
      </c>
      <c r="C2636" s="1222"/>
      <c r="D2636" s="1222"/>
      <c r="E2636" s="98">
        <v>97000</v>
      </c>
      <c r="F2636" s="99">
        <v>258</v>
      </c>
      <c r="G2636" s="100"/>
      <c r="H2636" s="101"/>
      <c r="I2636" s="1192">
        <f>+'2019 MILCON Inflation Table'!F13</f>
        <v>1.0963107786467188</v>
      </c>
      <c r="J2636" s="1193"/>
      <c r="K2636" s="99">
        <f>+F2636*I2636</f>
        <v>282.84818089085343</v>
      </c>
      <c r="L2636" s="97" t="s">
        <v>8</v>
      </c>
      <c r="M2636" s="1146"/>
      <c r="N2636" s="1103"/>
      <c r="O2636"/>
      <c r="P2636" s="159"/>
      <c r="Q2636" s="147"/>
      <c r="R2636" s="149"/>
    </row>
    <row r="2637" spans="1:24" ht="30" customHeight="1" thickBot="1">
      <c r="A2637" s="45"/>
      <c r="B2637" s="1224"/>
      <c r="C2637" s="1224"/>
      <c r="D2637" s="1224"/>
      <c r="E2637" s="1225"/>
      <c r="F2637" s="1226"/>
      <c r="G2637" s="1226"/>
      <c r="H2637" s="1227"/>
      <c r="I2637" s="18"/>
      <c r="J2637" s="79" t="s">
        <v>289</v>
      </c>
      <c r="K2637" s="103">
        <f>+K2636</f>
        <v>282.84818089085343</v>
      </c>
      <c r="L2637" s="20" t="s">
        <v>8</v>
      </c>
      <c r="M2637" s="1146"/>
      <c r="N2637" s="1103"/>
      <c r="O2637"/>
      <c r="P2637" s="159"/>
      <c r="Q2637" s="147"/>
      <c r="R2637" s="149"/>
    </row>
    <row r="2638" spans="1:24" ht="30" customHeight="1" thickBot="1">
      <c r="A2638" s="1165"/>
      <c r="B2638" s="1166"/>
      <c r="C2638" s="1166"/>
      <c r="D2638" s="1166"/>
      <c r="E2638" s="1166"/>
      <c r="F2638" s="1166"/>
      <c r="G2638" s="1166"/>
      <c r="H2638" s="1166"/>
      <c r="I2638" s="1166"/>
      <c r="J2638" s="1166"/>
      <c r="K2638" s="1166"/>
      <c r="L2638" s="1167"/>
      <c r="M2638" s="1146"/>
      <c r="N2638" s="1103"/>
      <c r="O2638"/>
      <c r="P2638" s="159"/>
      <c r="Q2638" s="147"/>
      <c r="R2638" s="149"/>
    </row>
    <row r="2639" spans="1:24" ht="30" customHeight="1">
      <c r="A2639" s="81" t="s">
        <v>280</v>
      </c>
      <c r="B2639" s="82">
        <v>7242</v>
      </c>
      <c r="C2639" s="1228" t="s">
        <v>1555</v>
      </c>
      <c r="D2639" s="1229"/>
      <c r="E2639" s="74" t="s">
        <v>282</v>
      </c>
      <c r="F2639" s="75" t="s">
        <v>8</v>
      </c>
      <c r="G2639" s="58" t="s">
        <v>290</v>
      </c>
      <c r="H2639" s="215">
        <v>70858</v>
      </c>
      <c r="I2639" s="74" t="s">
        <v>283</v>
      </c>
      <c r="J2639" s="1199" t="s">
        <v>2529</v>
      </c>
      <c r="K2639" s="1199"/>
      <c r="L2639" s="1200"/>
      <c r="M2639" s="1146"/>
      <c r="N2639" s="1103"/>
      <c r="O2639"/>
      <c r="P2639" s="159"/>
      <c r="Q2639" s="147"/>
      <c r="R2639" s="149"/>
      <c r="T2639" s="38"/>
      <c r="U2639" s="38"/>
      <c r="V2639" s="38"/>
      <c r="W2639" s="38"/>
      <c r="X2639" s="38"/>
    </row>
    <row r="2640" spans="1:24" s="38" customFormat="1" ht="30" customHeight="1">
      <c r="A2640" s="79" t="s">
        <v>304</v>
      </c>
      <c r="B2640" s="1201" t="s">
        <v>330</v>
      </c>
      <c r="C2640" s="1202"/>
      <c r="D2640" s="1203"/>
      <c r="E2640" s="150" t="s">
        <v>295</v>
      </c>
      <c r="F2640" s="150" t="s">
        <v>331</v>
      </c>
      <c r="G2640" s="1204" t="s">
        <v>332</v>
      </c>
      <c r="H2640" s="1205"/>
      <c r="I2640" s="77" t="s">
        <v>305</v>
      </c>
      <c r="J2640" s="77"/>
      <c r="K2640" s="1206" t="s">
        <v>297</v>
      </c>
      <c r="L2640" s="1207"/>
      <c r="M2640" s="1146"/>
      <c r="N2640" s="1103"/>
      <c r="P2640" s="159"/>
      <c r="Q2640" s="147"/>
      <c r="R2640" s="149"/>
      <c r="T2640"/>
      <c r="U2640"/>
      <c r="V2640"/>
      <c r="W2640"/>
      <c r="X2640"/>
    </row>
    <row r="2641" spans="1:24" ht="30" customHeight="1">
      <c r="A2641" s="651" t="s">
        <v>1531</v>
      </c>
      <c r="B2641" s="1267" t="s">
        <v>1556</v>
      </c>
      <c r="C2641" s="1267"/>
      <c r="D2641" s="1267"/>
      <c r="E2641" s="153">
        <v>146</v>
      </c>
      <c r="F2641" s="20" t="s">
        <v>8</v>
      </c>
      <c r="G2641" s="206"/>
      <c r="H2641" s="20"/>
      <c r="I2641" s="326">
        <v>1.1000000000000001</v>
      </c>
      <c r="J2641" s="326"/>
      <c r="K2641" s="153">
        <f>+E2641*I2641</f>
        <v>160.60000000000002</v>
      </c>
      <c r="L2641" s="20" t="s">
        <v>8</v>
      </c>
      <c r="M2641" s="1146"/>
      <c r="N2641" s="1103"/>
      <c r="O2641"/>
      <c r="P2641" s="159"/>
      <c r="Q2641" s="147"/>
      <c r="R2641" s="149"/>
    </row>
    <row r="2642" spans="1:24" ht="30" customHeight="1">
      <c r="A2642" s="647" t="s">
        <v>1435</v>
      </c>
      <c r="B2642" s="1179" t="s">
        <v>1557</v>
      </c>
      <c r="C2642" s="1180"/>
      <c r="D2642" s="1180"/>
      <c r="E2642" s="153">
        <v>2.85</v>
      </c>
      <c r="F2642" s="20" t="s">
        <v>8</v>
      </c>
      <c r="G2642" s="395"/>
      <c r="H2642" s="329"/>
      <c r="I2642" s="326">
        <v>1.1000000000000001</v>
      </c>
      <c r="J2642" s="326"/>
      <c r="K2642" s="153">
        <f>+E2642*I2642</f>
        <v>3.1350000000000002</v>
      </c>
      <c r="L2642" s="20" t="s">
        <v>8</v>
      </c>
      <c r="M2642" s="1146"/>
      <c r="N2642" s="1103"/>
      <c r="O2642"/>
      <c r="P2642" s="159"/>
      <c r="Q2642" s="147"/>
      <c r="R2642" s="149"/>
    </row>
    <row r="2643" spans="1:24" ht="30" customHeight="1">
      <c r="A2643" s="20"/>
      <c r="B2643" s="1224"/>
      <c r="C2643" s="1224"/>
      <c r="D2643" s="1224"/>
      <c r="E2643" s="153"/>
      <c r="F2643" s="20"/>
      <c r="G2643" s="395"/>
      <c r="H2643" s="329"/>
      <c r="I2643" s="20"/>
      <c r="J2643" s="20" t="s">
        <v>346</v>
      </c>
      <c r="K2643" s="153">
        <f>SUM(K2641:K2642)</f>
        <v>163.73500000000001</v>
      </c>
      <c r="L2643" s="20" t="s">
        <v>8</v>
      </c>
      <c r="M2643" s="1146"/>
      <c r="N2643" s="1103"/>
      <c r="O2643"/>
      <c r="P2643" s="159"/>
      <c r="Q2643" s="147"/>
      <c r="R2643" s="149"/>
    </row>
    <row r="2644" spans="1:24" ht="30" customHeight="1">
      <c r="A2644" s="45"/>
      <c r="B2644" s="157"/>
      <c r="C2644" s="157"/>
      <c r="D2644" s="157"/>
      <c r="E2644" s="153"/>
      <c r="F2644" s="1174" t="s">
        <v>308</v>
      </c>
      <c r="G2644" s="1208" t="s">
        <v>309</v>
      </c>
      <c r="H2644" s="1208"/>
      <c r="I2644" s="1208"/>
      <c r="J2644" s="1208"/>
      <c r="K2644" s="123">
        <v>1.06</v>
      </c>
      <c r="L2644" s="10"/>
      <c r="M2644" s="1146"/>
      <c r="N2644" s="282"/>
      <c r="O2644" s="34"/>
      <c r="P2644" s="283"/>
      <c r="Q2644" s="282"/>
      <c r="R2644" s="284"/>
    </row>
    <row r="2645" spans="1:24" ht="30" customHeight="1">
      <c r="A2645" s="45"/>
      <c r="B2645" s="157"/>
      <c r="C2645" s="157"/>
      <c r="D2645" s="157"/>
      <c r="E2645" s="153"/>
      <c r="F2645" s="1175"/>
      <c r="G2645" s="1209" t="s">
        <v>310</v>
      </c>
      <c r="H2645" s="1209"/>
      <c r="I2645" s="1209"/>
      <c r="J2645" s="1209"/>
      <c r="K2645" s="123">
        <v>1.07</v>
      </c>
      <c r="L2645" s="10"/>
      <c r="M2645" s="1146"/>
      <c r="N2645" s="282"/>
      <c r="O2645" s="34"/>
      <c r="P2645" s="283"/>
      <c r="Q2645" s="282"/>
      <c r="R2645" s="284"/>
    </row>
    <row r="2646" spans="1:24" ht="30" customHeight="1">
      <c r="A2646" s="20"/>
      <c r="B2646" s="20"/>
      <c r="C2646" s="18"/>
      <c r="D2646" s="18"/>
      <c r="E2646" s="18"/>
      <c r="F2646" s="18"/>
      <c r="G2646" s="18"/>
      <c r="H2646" s="18"/>
      <c r="I2646" s="18"/>
      <c r="J2646" s="18" t="s">
        <v>289</v>
      </c>
      <c r="K2646" s="23">
        <f>+K2643*K2644/K2645</f>
        <v>162.20476635514021</v>
      </c>
      <c r="L2646" s="20" t="s">
        <v>8</v>
      </c>
      <c r="M2646" s="1146"/>
      <c r="N2646" s="1103"/>
      <c r="O2646"/>
      <c r="P2646" s="159"/>
      <c r="Q2646" s="147"/>
      <c r="R2646" s="149"/>
    </row>
    <row r="2647" spans="1:24" ht="30" customHeight="1" thickBot="1">
      <c r="A2647" s="45"/>
      <c r="B2647" s="20"/>
      <c r="C2647" s="18"/>
      <c r="D2647" s="18"/>
      <c r="E2647" s="18"/>
      <c r="F2647" s="18"/>
      <c r="G2647" s="160" t="s">
        <v>312</v>
      </c>
      <c r="H2647" s="18"/>
      <c r="I2647" s="18"/>
      <c r="J2647" s="139">
        <f>VLOOKUP(B2639,'Mil Cost Premiums for RUCs'!$A$4:$R$266,18,FALSE)</f>
        <v>1.3319480854780448</v>
      </c>
      <c r="K2647" s="23">
        <f>+K2646*J2647</f>
        <v>216.04832800214257</v>
      </c>
      <c r="L2647" s="20" t="s">
        <v>8</v>
      </c>
      <c r="M2647" s="1146"/>
      <c r="N2647" s="1103"/>
      <c r="O2647"/>
      <c r="P2647" s="159"/>
      <c r="Q2647" s="147"/>
      <c r="R2647" s="149"/>
    </row>
    <row r="2648" spans="1:24" ht="30" customHeight="1" thickBot="1">
      <c r="A2648" s="1165"/>
      <c r="B2648" s="1166"/>
      <c r="C2648" s="1166"/>
      <c r="D2648" s="1166"/>
      <c r="E2648" s="1166"/>
      <c r="F2648" s="1166"/>
      <c r="G2648" s="1166"/>
      <c r="H2648" s="1166"/>
      <c r="I2648" s="1166"/>
      <c r="J2648" s="1166"/>
      <c r="K2648" s="1166"/>
      <c r="L2648" s="1167"/>
      <c r="M2648" s="1146"/>
      <c r="N2648" s="1103"/>
      <c r="O2648"/>
      <c r="P2648" s="159"/>
      <c r="Q2648" s="147"/>
      <c r="R2648" s="149"/>
    </row>
    <row r="2649" spans="1:24" ht="30" customHeight="1">
      <c r="A2649" s="27" t="s">
        <v>280</v>
      </c>
      <c r="B2649" s="82">
        <v>7250</v>
      </c>
      <c r="C2649" s="1228" t="s">
        <v>1558</v>
      </c>
      <c r="D2649" s="1229"/>
      <c r="E2649" s="74" t="s">
        <v>282</v>
      </c>
      <c r="F2649" s="75" t="s">
        <v>8</v>
      </c>
      <c r="G2649" s="58" t="s">
        <v>290</v>
      </c>
      <c r="H2649" s="215">
        <v>2076</v>
      </c>
      <c r="I2649" s="74" t="s">
        <v>283</v>
      </c>
      <c r="J2649" s="1199" t="s">
        <v>2529</v>
      </c>
      <c r="K2649" s="1199"/>
      <c r="L2649" s="1200"/>
      <c r="M2649" s="1146"/>
      <c r="N2649" s="1103"/>
      <c r="O2649"/>
      <c r="P2649" s="159"/>
      <c r="Q2649" s="147"/>
      <c r="R2649" s="149"/>
      <c r="T2649" s="38"/>
      <c r="U2649" s="38"/>
      <c r="V2649" s="38"/>
      <c r="W2649" s="38"/>
      <c r="X2649" s="38"/>
    </row>
    <row r="2650" spans="1:24" s="38" customFormat="1" ht="30" customHeight="1">
      <c r="A2650" s="37" t="s">
        <v>304</v>
      </c>
      <c r="B2650" s="1201" t="s">
        <v>330</v>
      </c>
      <c r="C2650" s="1202"/>
      <c r="D2650" s="1203"/>
      <c r="E2650" s="150" t="s">
        <v>295</v>
      </c>
      <c r="F2650" s="150" t="s">
        <v>331</v>
      </c>
      <c r="G2650" s="1204" t="s">
        <v>332</v>
      </c>
      <c r="H2650" s="1205"/>
      <c r="I2650" s="77" t="s">
        <v>305</v>
      </c>
      <c r="J2650" s="77"/>
      <c r="K2650" s="1206" t="s">
        <v>297</v>
      </c>
      <c r="L2650" s="1207"/>
      <c r="M2650" s="1146"/>
      <c r="N2650" s="1103"/>
      <c r="P2650" s="159"/>
      <c r="Q2650" s="147"/>
      <c r="R2650" s="149"/>
      <c r="T2650"/>
      <c r="U2650"/>
      <c r="V2650"/>
      <c r="W2650"/>
      <c r="X2650"/>
    </row>
    <row r="2651" spans="1:24" ht="30" customHeight="1">
      <c r="A2651" s="652" t="s">
        <v>1559</v>
      </c>
      <c r="B2651" s="1179" t="s">
        <v>1560</v>
      </c>
      <c r="C2651" s="1180"/>
      <c r="D2651" s="1181"/>
      <c r="E2651" s="153">
        <v>74.37</v>
      </c>
      <c r="F2651" s="22" t="s">
        <v>8</v>
      </c>
      <c r="G2651" s="521"/>
      <c r="H2651" s="333"/>
      <c r="I2651" s="20">
        <v>1.02</v>
      </c>
      <c r="J2651" s="20"/>
      <c r="K2651" s="153">
        <f>+E2651*I2651</f>
        <v>75.857400000000013</v>
      </c>
      <c r="L2651" s="20" t="s">
        <v>8</v>
      </c>
      <c r="M2651" s="1146"/>
      <c r="N2651" s="1103"/>
      <c r="O2651"/>
      <c r="P2651" s="159"/>
      <c r="Q2651" s="147"/>
      <c r="R2651" s="149"/>
    </row>
    <row r="2652" spans="1:24" ht="30" customHeight="1">
      <c r="A2652" s="653" t="s">
        <v>1561</v>
      </c>
      <c r="B2652" s="1179" t="s">
        <v>1562</v>
      </c>
      <c r="C2652" s="1180"/>
      <c r="D2652" s="1180"/>
      <c r="E2652" s="153">
        <v>3.98</v>
      </c>
      <c r="F2652" s="22" t="s">
        <v>8</v>
      </c>
      <c r="G2652" s="521"/>
      <c r="H2652" s="333"/>
      <c r="I2652" s="20">
        <v>1.02</v>
      </c>
      <c r="J2652" s="20"/>
      <c r="K2652" s="153">
        <f>+E2652*I2652</f>
        <v>4.0595999999999997</v>
      </c>
      <c r="L2652" s="20" t="s">
        <v>8</v>
      </c>
      <c r="M2652" s="1146"/>
      <c r="N2652" s="282"/>
      <c r="O2652" s="34"/>
      <c r="P2652" s="283"/>
      <c r="Q2652" s="282"/>
      <c r="R2652" s="284"/>
    </row>
    <row r="2653" spans="1:24" ht="30" customHeight="1">
      <c r="A2653" s="629"/>
      <c r="B2653" s="1267"/>
      <c r="C2653" s="1267"/>
      <c r="D2653" s="1267"/>
      <c r="E2653" s="153"/>
      <c r="F2653" s="20"/>
      <c r="G2653" s="206"/>
      <c r="H2653" s="20"/>
      <c r="I2653" s="20"/>
      <c r="J2653" s="20" t="s">
        <v>346</v>
      </c>
      <c r="K2653" s="153">
        <f>SUM(K2651:K2652)</f>
        <v>79.917000000000016</v>
      </c>
      <c r="L2653" s="20" t="s">
        <v>8</v>
      </c>
      <c r="M2653" s="1146"/>
      <c r="N2653" s="282"/>
      <c r="O2653" s="34"/>
      <c r="P2653" s="283"/>
      <c r="Q2653" s="282"/>
      <c r="R2653" s="284"/>
    </row>
    <row r="2654" spans="1:24" ht="30" customHeight="1">
      <c r="A2654" s="45"/>
      <c r="B2654" s="157"/>
      <c r="C2654" s="157"/>
      <c r="D2654" s="157"/>
      <c r="E2654" s="153"/>
      <c r="F2654" s="1174" t="s">
        <v>308</v>
      </c>
      <c r="G2654" s="1208" t="s">
        <v>309</v>
      </c>
      <c r="H2654" s="1208"/>
      <c r="I2654" s="1208"/>
      <c r="J2654" s="1208"/>
      <c r="K2654" s="123">
        <v>1.06</v>
      </c>
      <c r="L2654" s="10"/>
      <c r="M2654" s="1146"/>
      <c r="N2654" s="1103"/>
      <c r="O2654"/>
      <c r="P2654" s="159"/>
      <c r="Q2654" s="147"/>
      <c r="R2654" s="149"/>
      <c r="T2654" s="44"/>
      <c r="U2654" s="34"/>
    </row>
    <row r="2655" spans="1:24" ht="30" customHeight="1">
      <c r="A2655" s="45"/>
      <c r="B2655" s="157"/>
      <c r="C2655" s="157"/>
      <c r="D2655" s="157"/>
      <c r="E2655" s="153"/>
      <c r="F2655" s="1175"/>
      <c r="G2655" s="1209" t="s">
        <v>310</v>
      </c>
      <c r="H2655" s="1209"/>
      <c r="I2655" s="1209"/>
      <c r="J2655" s="1209"/>
      <c r="K2655" s="123">
        <v>1.07</v>
      </c>
      <c r="L2655" s="10"/>
      <c r="M2655" s="1146"/>
      <c r="N2655" s="1103"/>
      <c r="P2655" s="34"/>
      <c r="Q2655" s="34"/>
      <c r="R2655" s="34"/>
      <c r="S2655" s="44"/>
      <c r="T2655" s="44"/>
      <c r="U2655" s="34"/>
    </row>
    <row r="2656" spans="1:24" ht="30" customHeight="1">
      <c r="A2656" s="45"/>
      <c r="B2656" s="20"/>
      <c r="C2656" s="18"/>
      <c r="D2656" s="18"/>
      <c r="E2656" s="18"/>
      <c r="F2656" s="18"/>
      <c r="G2656" s="18"/>
      <c r="H2656" s="18"/>
      <c r="I2656" s="18"/>
      <c r="J2656" s="18" t="s">
        <v>289</v>
      </c>
      <c r="K2656" s="23">
        <f>+K2653*K2654/K2655</f>
        <v>79.170112149532727</v>
      </c>
      <c r="L2656" s="20" t="s">
        <v>8</v>
      </c>
      <c r="M2656" s="1146"/>
      <c r="N2656" s="1103"/>
      <c r="P2656" s="34"/>
      <c r="Q2656" s="34"/>
      <c r="R2656" s="34"/>
      <c r="S2656" s="44"/>
      <c r="T2656" s="32"/>
      <c r="U2656" s="32"/>
      <c r="V2656" s="32"/>
      <c r="W2656" s="32"/>
      <c r="X2656" s="32"/>
    </row>
    <row r="2657" spans="1:24" s="32" customFormat="1" ht="30" customHeight="1" thickBot="1">
      <c r="A2657" s="45"/>
      <c r="B2657" s="20"/>
      <c r="C2657" s="18"/>
      <c r="D2657" s="18"/>
      <c r="E2657" s="18"/>
      <c r="F2657" s="18"/>
      <c r="G2657" s="160" t="s">
        <v>312</v>
      </c>
      <c r="H2657" s="18"/>
      <c r="I2657" s="18"/>
      <c r="J2657" s="139">
        <f>VLOOKUP(B2649,'Mil Cost Premiums for RUCs'!$A$4:$R$266,18,FALSE)</f>
        <v>1.3319480854780448</v>
      </c>
      <c r="K2657" s="23">
        <f>+K2656*J2657</f>
        <v>105.45047930465221</v>
      </c>
      <c r="L2657" s="20" t="s">
        <v>8</v>
      </c>
      <c r="M2657" s="1146"/>
      <c r="N2657" s="124"/>
      <c r="O2657" s="33"/>
      <c r="T2657" s="38"/>
      <c r="U2657" s="38"/>
      <c r="V2657" s="38"/>
      <c r="W2657" s="38"/>
      <c r="X2657" s="38"/>
    </row>
    <row r="2658" spans="1:24" s="38" customFormat="1" ht="30" customHeight="1" thickBot="1">
      <c r="A2658" s="1165"/>
      <c r="B2658" s="1166"/>
      <c r="C2658" s="1166"/>
      <c r="D2658" s="1166"/>
      <c r="E2658" s="1166"/>
      <c r="F2658" s="1166"/>
      <c r="G2658" s="1166"/>
      <c r="H2658" s="1166"/>
      <c r="I2658" s="1166"/>
      <c r="J2658" s="1166"/>
      <c r="K2658" s="1166"/>
      <c r="L2658" s="1167"/>
      <c r="M2658" s="1146"/>
      <c r="N2658" s="193"/>
      <c r="O2658" s="1119"/>
      <c r="T2658"/>
      <c r="U2658"/>
      <c r="V2658"/>
      <c r="W2658"/>
      <c r="X2658"/>
    </row>
    <row r="2659" spans="1:24" ht="30" customHeight="1">
      <c r="A2659" s="81" t="s">
        <v>280</v>
      </c>
      <c r="B2659" s="82">
        <v>7251</v>
      </c>
      <c r="C2659" s="1228" t="s">
        <v>1563</v>
      </c>
      <c r="D2659" s="1229"/>
      <c r="E2659" s="74" t="s">
        <v>282</v>
      </c>
      <c r="F2659" s="75" t="s">
        <v>8</v>
      </c>
      <c r="G2659" s="58" t="s">
        <v>290</v>
      </c>
      <c r="H2659" s="104">
        <v>1628</v>
      </c>
      <c r="I2659" s="74" t="s">
        <v>283</v>
      </c>
      <c r="J2659" s="1199" t="s">
        <v>2569</v>
      </c>
      <c r="K2659" s="1230"/>
      <c r="L2659" s="1231"/>
      <c r="M2659" s="1146"/>
    </row>
    <row r="2660" spans="1:24" ht="30" customHeight="1">
      <c r="A2660" s="77" t="s">
        <v>293</v>
      </c>
      <c r="B2660" s="1232" t="s">
        <v>284</v>
      </c>
      <c r="C2660" s="1232"/>
      <c r="D2660" s="1232"/>
      <c r="E2660" s="96" t="s">
        <v>295</v>
      </c>
      <c r="F2660" s="77" t="s">
        <v>2</v>
      </c>
      <c r="G2660" s="1365" t="s">
        <v>332</v>
      </c>
      <c r="H2660" s="1366"/>
      <c r="I2660" s="1233" t="s">
        <v>426</v>
      </c>
      <c r="J2660" s="1234"/>
      <c r="K2660" s="1206" t="s">
        <v>297</v>
      </c>
      <c r="L2660" s="1207"/>
      <c r="M2660" s="1146"/>
      <c r="O2660"/>
      <c r="P2660" s="159"/>
      <c r="Q2660" s="147"/>
      <c r="R2660" s="149"/>
    </row>
    <row r="2661" spans="1:24" ht="30" customHeight="1">
      <c r="A2661" s="20">
        <v>93210</v>
      </c>
      <c r="B2661" s="1176" t="s">
        <v>1564</v>
      </c>
      <c r="C2661" s="1177"/>
      <c r="D2661" s="1178"/>
      <c r="E2661" s="153">
        <v>2.8</v>
      </c>
      <c r="F2661" s="316" t="s">
        <v>3</v>
      </c>
      <c r="G2661" s="529">
        <v>9</v>
      </c>
      <c r="H2661" s="286" t="s">
        <v>1565</v>
      </c>
      <c r="I2661" s="1546">
        <f>+'2019 MILCON Inflation Table'!$F$18</f>
        <v>0.94232233454704462</v>
      </c>
      <c r="J2661" s="1547"/>
      <c r="K2661" s="106">
        <f>+E2661/G2661*I2661</f>
        <v>0.29316694852574721</v>
      </c>
      <c r="L2661" s="97" t="s">
        <v>8</v>
      </c>
      <c r="M2661" s="1146"/>
      <c r="N2661" s="951"/>
      <c r="O2661"/>
      <c r="P2661" s="159"/>
      <c r="Q2661" s="147"/>
      <c r="R2661" s="149"/>
    </row>
    <row r="2662" spans="1:24" ht="30" customHeight="1">
      <c r="A2662" s="20">
        <v>93210</v>
      </c>
      <c r="B2662" s="1224" t="s">
        <v>1566</v>
      </c>
      <c r="C2662" s="1224"/>
      <c r="D2662" s="1224"/>
      <c r="E2662" s="153">
        <v>2.2999999999999998</v>
      </c>
      <c r="F2662" s="316" t="s">
        <v>3</v>
      </c>
      <c r="G2662" s="529">
        <v>9</v>
      </c>
      <c r="H2662" s="286" t="s">
        <v>1565</v>
      </c>
      <c r="I2662" s="1546">
        <f>+'2019 MILCON Inflation Table'!$F$18</f>
        <v>0.94232233454704462</v>
      </c>
      <c r="J2662" s="1547"/>
      <c r="K2662" s="106">
        <f>+E2662/G2662*I2662</f>
        <v>0.24081570771757804</v>
      </c>
      <c r="L2662" s="97" t="s">
        <v>8</v>
      </c>
      <c r="M2662" s="1146"/>
      <c r="N2662" s="951"/>
      <c r="O2662"/>
      <c r="P2662" s="159"/>
      <c r="Q2662" s="147"/>
      <c r="R2662" s="149"/>
      <c r="T2662" s="38"/>
      <c r="U2662" s="38"/>
      <c r="V2662" s="38"/>
      <c r="W2662" s="38"/>
      <c r="X2662" s="38"/>
    </row>
    <row r="2663" spans="1:24" s="38" customFormat="1" ht="30" customHeight="1">
      <c r="A2663" s="20">
        <v>85110</v>
      </c>
      <c r="B2663" s="1179" t="s">
        <v>1567</v>
      </c>
      <c r="C2663" s="1180"/>
      <c r="D2663" s="1181"/>
      <c r="E2663" s="153">
        <v>9.6999999999999993</v>
      </c>
      <c r="F2663" s="316" t="s">
        <v>3</v>
      </c>
      <c r="G2663" s="529">
        <v>9</v>
      </c>
      <c r="H2663" s="286" t="s">
        <v>1565</v>
      </c>
      <c r="I2663" s="1546">
        <f>+'2019 MILCON Inflation Table'!$F$18</f>
        <v>0.94232233454704462</v>
      </c>
      <c r="J2663" s="1547"/>
      <c r="K2663" s="106">
        <f>+E2663/G2663*I2663</f>
        <v>1.0156140716784814</v>
      </c>
      <c r="L2663" s="97" t="s">
        <v>8</v>
      </c>
      <c r="M2663" s="1146"/>
      <c r="N2663" s="951"/>
      <c r="P2663" s="159"/>
      <c r="Q2663" s="147"/>
      <c r="R2663" s="149"/>
      <c r="T2663"/>
      <c r="U2663"/>
      <c r="V2663"/>
      <c r="W2663"/>
      <c r="X2663"/>
    </row>
    <row r="2664" spans="1:24" ht="30" customHeight="1">
      <c r="A2664" s="20">
        <v>85110</v>
      </c>
      <c r="B2664" s="1179" t="s">
        <v>1568</v>
      </c>
      <c r="C2664" s="1180"/>
      <c r="D2664" s="1181"/>
      <c r="E2664" s="153">
        <v>43.1</v>
      </c>
      <c r="F2664" s="316" t="s">
        <v>3</v>
      </c>
      <c r="G2664" s="529">
        <v>9</v>
      </c>
      <c r="H2664" s="286" t="s">
        <v>1565</v>
      </c>
      <c r="I2664" s="1546">
        <f>+'2019 MILCON Inflation Table'!$F$18</f>
        <v>0.94232233454704462</v>
      </c>
      <c r="J2664" s="1547"/>
      <c r="K2664" s="106">
        <f>+E2664/G2664*I2664</f>
        <v>4.5126769576641799</v>
      </c>
      <c r="L2664" s="97" t="s">
        <v>8</v>
      </c>
      <c r="M2664" s="1146"/>
      <c r="N2664" s="1103"/>
      <c r="O2664"/>
      <c r="P2664" s="159"/>
      <c r="Q2664" s="147"/>
      <c r="R2664" s="149"/>
    </row>
    <row r="2665" spans="1:24" ht="30" customHeight="1" thickBot="1">
      <c r="A2665" s="20"/>
      <c r="B2665" s="1179"/>
      <c r="C2665" s="1180"/>
      <c r="D2665" s="1181"/>
      <c r="E2665" s="181"/>
      <c r="F2665" s="338"/>
      <c r="G2665" s="181"/>
      <c r="H2665" s="339" t="s">
        <v>346</v>
      </c>
      <c r="I2665" s="18"/>
      <c r="J2665" s="79" t="s">
        <v>289</v>
      </c>
      <c r="K2665" s="107">
        <f>SUM(K2661:K2664)</f>
        <v>6.0622736855859864</v>
      </c>
      <c r="L2665" s="97" t="s">
        <v>8</v>
      </c>
      <c r="M2665" s="1146"/>
      <c r="N2665" s="1103"/>
      <c r="O2665"/>
      <c r="P2665" s="159"/>
      <c r="Q2665" s="147"/>
      <c r="R2665" s="149"/>
    </row>
    <row r="2666" spans="1:24" ht="30" customHeight="1" thickBot="1">
      <c r="A2666" s="1165"/>
      <c r="B2666" s="1166"/>
      <c r="C2666" s="1166"/>
      <c r="D2666" s="1166"/>
      <c r="E2666" s="1166"/>
      <c r="F2666" s="1166"/>
      <c r="G2666" s="1166"/>
      <c r="H2666" s="1166"/>
      <c r="I2666" s="1166"/>
      <c r="J2666" s="1166"/>
      <c r="K2666" s="1166"/>
      <c r="L2666" s="1167"/>
      <c r="M2666" s="1146"/>
      <c r="N2666" s="1103"/>
      <c r="O2666"/>
      <c r="P2666" s="159"/>
      <c r="Q2666" s="147"/>
      <c r="R2666" s="149"/>
    </row>
    <row r="2667" spans="1:24" ht="30" customHeight="1">
      <c r="A2667" s="81" t="s">
        <v>280</v>
      </c>
      <c r="B2667" s="82">
        <v>7311</v>
      </c>
      <c r="C2667" s="1393" t="s">
        <v>1569</v>
      </c>
      <c r="D2667" s="1394"/>
      <c r="E2667" s="74" t="s">
        <v>282</v>
      </c>
      <c r="F2667" s="75" t="s">
        <v>8</v>
      </c>
      <c r="G2667" s="58" t="s">
        <v>290</v>
      </c>
      <c r="H2667" s="104">
        <v>8069</v>
      </c>
      <c r="I2667" s="74" t="s">
        <v>283</v>
      </c>
      <c r="J2667" s="1199" t="s">
        <v>2569</v>
      </c>
      <c r="K2667" s="1230"/>
      <c r="L2667" s="1231"/>
      <c r="M2667" s="1146"/>
      <c r="N2667" s="282"/>
      <c r="O2667" s="34"/>
      <c r="P2667" s="283"/>
      <c r="Q2667" s="282"/>
      <c r="R2667" s="284"/>
    </row>
    <row r="2668" spans="1:24" ht="30" customHeight="1">
      <c r="A2668" s="77" t="s">
        <v>293</v>
      </c>
      <c r="B2668" s="1232" t="s">
        <v>284</v>
      </c>
      <c r="C2668" s="1232"/>
      <c r="D2668" s="1232"/>
      <c r="E2668" s="96" t="s">
        <v>295</v>
      </c>
      <c r="F2668" s="77" t="s">
        <v>294</v>
      </c>
      <c r="G2668" s="1365" t="s">
        <v>332</v>
      </c>
      <c r="H2668" s="1366"/>
      <c r="I2668" s="1233" t="s">
        <v>426</v>
      </c>
      <c r="J2668" s="1234"/>
      <c r="K2668" s="1312" t="s">
        <v>297</v>
      </c>
      <c r="L2668" s="1313"/>
      <c r="M2668" s="1146"/>
      <c r="N2668" s="282"/>
      <c r="O2668" s="34"/>
      <c r="P2668" s="283"/>
      <c r="Q2668" s="282"/>
      <c r="R2668" s="284"/>
    </row>
    <row r="2669" spans="1:24" ht="30" customHeight="1">
      <c r="A2669" s="20">
        <v>73010</v>
      </c>
      <c r="B2669" s="1179" t="s">
        <v>1570</v>
      </c>
      <c r="C2669" s="1180"/>
      <c r="D2669" s="1181"/>
      <c r="E2669" s="153">
        <v>388</v>
      </c>
      <c r="F2669" s="316">
        <v>39000</v>
      </c>
      <c r="G2669" s="529"/>
      <c r="H2669" s="286"/>
      <c r="I2669" s="1546">
        <f>+'2019 MILCON Inflation Table'!F18</f>
        <v>0.94232233454704462</v>
      </c>
      <c r="J2669" s="1547"/>
      <c r="K2669" s="106">
        <f>+E2669*I2669</f>
        <v>365.62106580425331</v>
      </c>
      <c r="L2669" s="97" t="s">
        <v>8</v>
      </c>
      <c r="M2669" s="1146"/>
      <c r="N2669" s="1103"/>
      <c r="O2669"/>
      <c r="P2669" s="159"/>
      <c r="Q2669" s="147"/>
      <c r="R2669" s="149"/>
    </row>
    <row r="2670" spans="1:24" ht="30" customHeight="1" thickBot="1">
      <c r="A2670" s="20"/>
      <c r="B2670" s="1179"/>
      <c r="C2670" s="1180"/>
      <c r="D2670" s="1181"/>
      <c r="E2670" s="181"/>
      <c r="F2670" s="338"/>
      <c r="G2670" s="181"/>
      <c r="H2670" s="339"/>
      <c r="I2670" s="18"/>
      <c r="J2670" s="79" t="s">
        <v>289</v>
      </c>
      <c r="K2670" s="107">
        <f>SUM(K2669:K2669)</f>
        <v>365.62106580425331</v>
      </c>
      <c r="L2670" s="97" t="s">
        <v>8</v>
      </c>
      <c r="M2670" s="1146"/>
      <c r="N2670" s="1103"/>
      <c r="O2670"/>
      <c r="P2670" s="159"/>
      <c r="Q2670" s="147"/>
      <c r="R2670" s="149"/>
    </row>
    <row r="2671" spans="1:24" ht="30" customHeight="1" thickBot="1">
      <c r="A2671" s="1165"/>
      <c r="B2671" s="1166"/>
      <c r="C2671" s="1166"/>
      <c r="D2671" s="1166"/>
      <c r="E2671" s="1166"/>
      <c r="F2671" s="1166"/>
      <c r="G2671" s="1166"/>
      <c r="H2671" s="1166"/>
      <c r="I2671" s="1166"/>
      <c r="J2671" s="1166"/>
      <c r="K2671" s="1166"/>
      <c r="L2671" s="1167"/>
      <c r="M2671" s="1146"/>
      <c r="N2671" s="1103"/>
      <c r="O2671"/>
      <c r="P2671" s="159"/>
      <c r="Q2671" s="147"/>
      <c r="R2671" s="149"/>
    </row>
    <row r="2672" spans="1:24" ht="30" customHeight="1">
      <c r="A2672" s="162" t="s">
        <v>280</v>
      </c>
      <c r="B2672" s="163">
        <v>7312</v>
      </c>
      <c r="C2672" s="1290" t="s">
        <v>1571</v>
      </c>
      <c r="D2672" s="1291"/>
      <c r="E2672" s="216" t="s">
        <v>282</v>
      </c>
      <c r="F2672" s="217" t="s">
        <v>8</v>
      </c>
      <c r="G2672" s="58" t="s">
        <v>290</v>
      </c>
      <c r="H2672" s="245">
        <v>17638</v>
      </c>
      <c r="I2672" s="216" t="s">
        <v>283</v>
      </c>
      <c r="J2672" s="1199" t="s">
        <v>2529</v>
      </c>
      <c r="K2672" s="1199"/>
      <c r="L2672" s="1200"/>
      <c r="M2672" s="1146"/>
      <c r="N2672" s="1103"/>
      <c r="O2672"/>
      <c r="P2672" s="159"/>
      <c r="Q2672" s="147"/>
      <c r="R2672" s="149"/>
      <c r="T2672" s="38"/>
      <c r="U2672" s="38"/>
      <c r="V2672" s="38"/>
      <c r="W2672" s="38"/>
      <c r="X2672" s="38"/>
    </row>
    <row r="2673" spans="1:24" s="38" customFormat="1" ht="30" customHeight="1">
      <c r="A2673" s="165" t="s">
        <v>304</v>
      </c>
      <c r="B2673" s="1324" t="s">
        <v>330</v>
      </c>
      <c r="C2673" s="1325"/>
      <c r="D2673" s="1326"/>
      <c r="E2673" s="219" t="s">
        <v>295</v>
      </c>
      <c r="F2673" s="219" t="s">
        <v>331</v>
      </c>
      <c r="G2673" s="1327" t="s">
        <v>332</v>
      </c>
      <c r="H2673" s="1328"/>
      <c r="I2673" s="167" t="s">
        <v>305</v>
      </c>
      <c r="J2673" s="167"/>
      <c r="K2673" s="1206" t="s">
        <v>297</v>
      </c>
      <c r="L2673" s="1207"/>
      <c r="M2673" s="1146"/>
      <c r="N2673" s="1103"/>
      <c r="P2673" s="159"/>
      <c r="Q2673" s="147"/>
      <c r="R2673" s="149"/>
      <c r="T2673"/>
      <c r="U2673"/>
      <c r="V2673"/>
      <c r="W2673"/>
      <c r="X2673"/>
    </row>
    <row r="2674" spans="1:24" ht="30" customHeight="1">
      <c r="A2674" s="658" t="s">
        <v>414</v>
      </c>
      <c r="B2674" s="1162" t="s">
        <v>1572</v>
      </c>
      <c r="C2674" s="1163"/>
      <c r="D2674" s="1164"/>
      <c r="E2674" s="115">
        <v>190.01</v>
      </c>
      <c r="F2674" s="5" t="s">
        <v>8</v>
      </c>
      <c r="G2674" s="296"/>
      <c r="H2674" s="297"/>
      <c r="I2674" s="10">
        <v>1.07</v>
      </c>
      <c r="J2674" s="10"/>
      <c r="K2674" s="115">
        <f>+E2674*I2674</f>
        <v>203.3107</v>
      </c>
      <c r="L2674" s="10" t="s">
        <v>8</v>
      </c>
      <c r="M2674" s="1146"/>
      <c r="N2674" s="1103"/>
      <c r="O2674"/>
      <c r="P2674" s="159"/>
      <c r="Q2674" s="147"/>
      <c r="R2674" s="149"/>
    </row>
    <row r="2675" spans="1:24" ht="30" customHeight="1">
      <c r="A2675" s="659" t="s">
        <v>418</v>
      </c>
      <c r="B2675" s="1182" t="s">
        <v>419</v>
      </c>
      <c r="C2675" s="1183"/>
      <c r="D2675" s="1183"/>
      <c r="E2675" s="115">
        <v>3.44</v>
      </c>
      <c r="F2675" s="5" t="s">
        <v>8</v>
      </c>
      <c r="G2675" s="296"/>
      <c r="H2675" s="297"/>
      <c r="I2675" s="10">
        <v>1.07</v>
      </c>
      <c r="J2675" s="10"/>
      <c r="K2675" s="115">
        <f>+E2675*I2675</f>
        <v>3.6808000000000001</v>
      </c>
      <c r="L2675" s="10" t="s">
        <v>8</v>
      </c>
      <c r="M2675" s="1146"/>
      <c r="N2675" s="1103"/>
      <c r="O2675"/>
      <c r="P2675" s="159"/>
      <c r="Q2675" s="147"/>
      <c r="R2675" s="149"/>
    </row>
    <row r="2676" spans="1:24" ht="30" customHeight="1">
      <c r="A2676" s="659" t="s">
        <v>395</v>
      </c>
      <c r="B2676" s="1182" t="s">
        <v>2750</v>
      </c>
      <c r="C2676" s="1183"/>
      <c r="D2676" s="1184"/>
      <c r="E2676" s="115">
        <f>(19.15+29.75)/2</f>
        <v>24.45</v>
      </c>
      <c r="F2676" s="5" t="s">
        <v>1023</v>
      </c>
      <c r="G2676" s="296">
        <f>81*E2676/H2672</f>
        <v>0.11228313867785464</v>
      </c>
      <c r="H2676" s="297" t="s">
        <v>1573</v>
      </c>
      <c r="I2676" s="10">
        <v>1.06</v>
      </c>
      <c r="J2676" s="10"/>
      <c r="K2676" s="115">
        <f t="shared" ref="K2676:K2681" si="55">+G2676*I2676</f>
        <v>0.11902012699852592</v>
      </c>
      <c r="L2676" s="10" t="s">
        <v>8</v>
      </c>
      <c r="M2676" s="1146"/>
      <c r="N2676" s="1103"/>
      <c r="O2676"/>
      <c r="P2676" s="159"/>
      <c r="Q2676" s="147"/>
      <c r="R2676" s="149"/>
    </row>
    <row r="2677" spans="1:24" ht="30" customHeight="1">
      <c r="A2677" s="659" t="s">
        <v>395</v>
      </c>
      <c r="B2677" s="1182" t="s">
        <v>1574</v>
      </c>
      <c r="C2677" s="1183"/>
      <c r="D2677" s="1184"/>
      <c r="E2677" s="115">
        <f>(1610+2280)/2</f>
        <v>1945</v>
      </c>
      <c r="F2677" s="5" t="s">
        <v>10</v>
      </c>
      <c r="G2677" s="661">
        <f>+E2677/H2672</f>
        <v>0.11027327361378841</v>
      </c>
      <c r="H2677" s="297" t="s">
        <v>1573</v>
      </c>
      <c r="I2677" s="10">
        <v>1.06</v>
      </c>
      <c r="J2677" s="10"/>
      <c r="K2677" s="115">
        <f t="shared" si="55"/>
        <v>0.11688967003061572</v>
      </c>
      <c r="L2677" s="10" t="s">
        <v>8</v>
      </c>
      <c r="M2677" s="1146"/>
      <c r="N2677" s="1103"/>
      <c r="O2677"/>
      <c r="P2677" s="159"/>
      <c r="Q2677" s="147"/>
      <c r="R2677" s="149"/>
    </row>
    <row r="2678" spans="1:24" ht="30" customHeight="1">
      <c r="A2678" s="659" t="s">
        <v>398</v>
      </c>
      <c r="B2678" s="1182" t="s">
        <v>1575</v>
      </c>
      <c r="C2678" s="1183"/>
      <c r="D2678" s="1184"/>
      <c r="E2678" s="115">
        <f>(31.5+75)/2</f>
        <v>53.25</v>
      </c>
      <c r="F2678" s="5" t="s">
        <v>1576</v>
      </c>
      <c r="G2678" s="296">
        <f>10*E2678/H2672</f>
        <v>3.0190497788864949E-2</v>
      </c>
      <c r="H2678" s="297" t="s">
        <v>1573</v>
      </c>
      <c r="I2678" s="10">
        <v>1.04</v>
      </c>
      <c r="J2678" s="10"/>
      <c r="K2678" s="115">
        <f t="shared" si="55"/>
        <v>3.1398117700419545E-2</v>
      </c>
      <c r="L2678" s="10" t="s">
        <v>8</v>
      </c>
      <c r="M2678" s="1146"/>
      <c r="N2678" s="1103"/>
      <c r="O2678"/>
      <c r="P2678" s="159"/>
      <c r="Q2678" s="147"/>
      <c r="R2678" s="149"/>
    </row>
    <row r="2679" spans="1:24" ht="30" customHeight="1">
      <c r="A2679" s="659" t="s">
        <v>398</v>
      </c>
      <c r="B2679" s="1182" t="s">
        <v>1577</v>
      </c>
      <c r="C2679" s="1183"/>
      <c r="D2679" s="1184"/>
      <c r="E2679" s="115">
        <f>(5900+11300)/2</f>
        <v>8600</v>
      </c>
      <c r="F2679" s="5" t="s">
        <v>10</v>
      </c>
      <c r="G2679" s="661">
        <f>+E2679/H2672</f>
        <v>0.48758362626148088</v>
      </c>
      <c r="H2679" s="297" t="s">
        <v>1573</v>
      </c>
      <c r="I2679" s="10">
        <v>1.04</v>
      </c>
      <c r="J2679" s="10"/>
      <c r="K2679" s="115">
        <f t="shared" si="55"/>
        <v>0.50708697131194014</v>
      </c>
      <c r="L2679" s="10" t="s">
        <v>8</v>
      </c>
      <c r="M2679" s="1146"/>
      <c r="N2679" s="282"/>
      <c r="O2679" s="34"/>
      <c r="P2679" s="283"/>
      <c r="Q2679" s="282"/>
      <c r="R2679" s="284"/>
    </row>
    <row r="2680" spans="1:24" ht="30" customHeight="1">
      <c r="A2680" s="659" t="s">
        <v>398</v>
      </c>
      <c r="B2680" s="1182" t="s">
        <v>1018</v>
      </c>
      <c r="C2680" s="1183"/>
      <c r="D2680" s="1184"/>
      <c r="E2680" s="115">
        <f>(605+925)/2</f>
        <v>765</v>
      </c>
      <c r="F2680" s="5" t="s">
        <v>10</v>
      </c>
      <c r="G2680" s="661">
        <f>+E2680/H2672</f>
        <v>4.337226442907359E-2</v>
      </c>
      <c r="H2680" s="297" t="s">
        <v>1573</v>
      </c>
      <c r="I2680" s="10">
        <v>1.04</v>
      </c>
      <c r="J2680" s="10"/>
      <c r="K2680" s="115">
        <f t="shared" si="55"/>
        <v>4.5107155006236535E-2</v>
      </c>
      <c r="L2680" s="10" t="s">
        <v>8</v>
      </c>
      <c r="M2680" s="1146"/>
      <c r="N2680" s="282"/>
      <c r="O2680" s="34"/>
      <c r="P2680" s="283"/>
      <c r="Q2680" s="282"/>
      <c r="R2680" s="284"/>
    </row>
    <row r="2681" spans="1:24" ht="30" customHeight="1">
      <c r="A2681" s="659" t="s">
        <v>398</v>
      </c>
      <c r="B2681" s="1182" t="s">
        <v>403</v>
      </c>
      <c r="C2681" s="1183"/>
      <c r="D2681" s="1184"/>
      <c r="E2681" s="115">
        <f>(1060+3175)/2</f>
        <v>2117.5</v>
      </c>
      <c r="F2681" s="5" t="s">
        <v>10</v>
      </c>
      <c r="G2681" s="661">
        <f>+E2681/H2672</f>
        <v>0.12005329402426579</v>
      </c>
      <c r="H2681" s="297" t="s">
        <v>1573</v>
      </c>
      <c r="I2681" s="10">
        <v>1.04</v>
      </c>
      <c r="J2681" s="10"/>
      <c r="K2681" s="115">
        <f t="shared" si="55"/>
        <v>0.12485542578523642</v>
      </c>
      <c r="L2681" s="10" t="s">
        <v>8</v>
      </c>
      <c r="M2681" s="1146"/>
      <c r="N2681" s="1103"/>
      <c r="O2681"/>
      <c r="P2681" s="159"/>
      <c r="Q2681" s="147"/>
      <c r="R2681" s="149"/>
      <c r="T2681" s="32"/>
      <c r="U2681" s="34"/>
    </row>
    <row r="2682" spans="1:24" ht="30" customHeight="1">
      <c r="A2682" s="649"/>
      <c r="B2682" s="1329"/>
      <c r="C2682" s="1329"/>
      <c r="D2682" s="1329"/>
      <c r="E2682" s="115"/>
      <c r="F2682" s="10"/>
      <c r="G2682" s="494"/>
      <c r="H2682" s="10"/>
      <c r="I2682" s="10"/>
      <c r="J2682" s="10" t="s">
        <v>346</v>
      </c>
      <c r="K2682" s="115">
        <f>SUM(K2674:K2681)</f>
        <v>207.93585746683297</v>
      </c>
      <c r="L2682" s="10" t="s">
        <v>8</v>
      </c>
      <c r="M2682" s="1146"/>
      <c r="N2682" s="1103"/>
      <c r="O2682" s="33"/>
      <c r="P2682" s="32"/>
      <c r="Q2682" s="32"/>
      <c r="R2682" s="32"/>
      <c r="S2682" s="32"/>
      <c r="U2682" s="34"/>
    </row>
    <row r="2683" spans="1:24" ht="30" customHeight="1">
      <c r="A2683" s="45"/>
      <c r="B2683" s="157"/>
      <c r="C2683" s="157"/>
      <c r="D2683" s="157"/>
      <c r="E2683" s="153"/>
      <c r="F2683" s="1174" t="s">
        <v>308</v>
      </c>
      <c r="G2683" s="1208" t="s">
        <v>309</v>
      </c>
      <c r="H2683" s="1208"/>
      <c r="I2683" s="1208"/>
      <c r="J2683" s="1208"/>
      <c r="K2683" s="123">
        <v>1.06</v>
      </c>
      <c r="L2683" s="10"/>
      <c r="M2683" s="1146"/>
      <c r="N2683" s="1103"/>
    </row>
    <row r="2684" spans="1:24" ht="30" customHeight="1">
      <c r="A2684" s="45"/>
      <c r="B2684" s="157"/>
      <c r="C2684" s="157"/>
      <c r="D2684" s="157"/>
      <c r="E2684" s="153"/>
      <c r="F2684" s="1175"/>
      <c r="G2684" s="1209" t="s">
        <v>310</v>
      </c>
      <c r="H2684" s="1209"/>
      <c r="I2684" s="1209"/>
      <c r="J2684" s="1209"/>
      <c r="K2684" s="123">
        <v>1.07</v>
      </c>
      <c r="L2684" s="10"/>
      <c r="M2684" s="1146"/>
      <c r="N2684" s="125"/>
      <c r="O2684"/>
      <c r="P2684" s="159"/>
      <c r="Q2684" s="147"/>
      <c r="R2684" s="149"/>
      <c r="T2684" s="38"/>
      <c r="U2684" s="38"/>
      <c r="V2684" s="38"/>
      <c r="W2684" s="38"/>
      <c r="X2684" s="38"/>
    </row>
    <row r="2685" spans="1:24" s="38" customFormat="1" ht="30" customHeight="1">
      <c r="A2685" s="10"/>
      <c r="B2685" s="10"/>
      <c r="C2685" s="13"/>
      <c r="D2685" s="13"/>
      <c r="E2685" s="13"/>
      <c r="F2685" s="13"/>
      <c r="G2685" s="13"/>
      <c r="H2685" s="13"/>
      <c r="I2685" s="13"/>
      <c r="J2685" s="13" t="s">
        <v>289</v>
      </c>
      <c r="K2685" s="14">
        <f>+K2682*K2683/K2684</f>
        <v>205.99253169611492</v>
      </c>
      <c r="L2685" s="10" t="s">
        <v>8</v>
      </c>
      <c r="M2685" s="1146"/>
      <c r="N2685" s="193"/>
      <c r="P2685" s="159"/>
      <c r="Q2685" s="147"/>
      <c r="R2685" s="149"/>
      <c r="T2685"/>
      <c r="U2685"/>
      <c r="V2685"/>
      <c r="W2685"/>
      <c r="X2685"/>
    </row>
    <row r="2686" spans="1:24" ht="30" customHeight="1">
      <c r="A2686" s="10"/>
      <c r="B2686" s="10"/>
      <c r="C2686" s="13"/>
      <c r="D2686" s="13"/>
      <c r="E2686" s="13"/>
      <c r="F2686" s="13"/>
      <c r="G2686" s="13"/>
      <c r="I2686" s="461" t="s">
        <v>385</v>
      </c>
      <c r="J2686" s="139">
        <f>VLOOKUP(B2672,'Mil Cost Premiums for RUCs'!$A$4:$R$266,18,FALSE)</f>
        <v>1.3319480854780448</v>
      </c>
      <c r="K2686" s="14">
        <f>+K2685*J2686</f>
        <v>274.37135821541574</v>
      </c>
      <c r="L2686" s="10" t="s">
        <v>8</v>
      </c>
      <c r="M2686" s="1146"/>
      <c r="N2686" s="1103"/>
      <c r="O2686"/>
      <c r="P2686" s="159"/>
      <c r="Q2686" s="147"/>
      <c r="R2686" s="149"/>
    </row>
    <row r="2687" spans="1:24" ht="60" customHeight="1">
      <c r="A2687" s="1337" t="s">
        <v>313</v>
      </c>
      <c r="B2687" s="1338"/>
      <c r="C2687" s="1338"/>
      <c r="D2687" s="1338"/>
      <c r="E2687" s="1338"/>
      <c r="F2687" s="1338"/>
      <c r="G2687" s="1338"/>
      <c r="H2687" s="1338"/>
      <c r="I2687" s="1338"/>
      <c r="J2687" s="1338"/>
      <c r="K2687" s="1338"/>
      <c r="L2687" s="1339"/>
      <c r="M2687" s="1146"/>
      <c r="N2687" s="1103"/>
      <c r="O2687"/>
      <c r="P2687" s="159"/>
      <c r="Q2687" s="147"/>
      <c r="R2687" s="149"/>
    </row>
    <row r="2688" spans="1:24" ht="45" customHeight="1">
      <c r="A2688" s="1406" t="s">
        <v>314</v>
      </c>
      <c r="B2688" s="1407"/>
      <c r="C2688" s="1408"/>
      <c r="D2688" s="1270" t="s">
        <v>1578</v>
      </c>
      <c r="E2688" s="1371"/>
      <c r="F2688" s="1371"/>
      <c r="G2688" s="1371"/>
      <c r="H2688" s="1371"/>
      <c r="I2688" s="1371"/>
      <c r="J2688" s="1371"/>
      <c r="K2688" s="1371"/>
      <c r="L2688" s="1372"/>
      <c r="M2688" s="1146"/>
      <c r="N2688" s="1103"/>
      <c r="O2688"/>
      <c r="P2688" s="159"/>
      <c r="Q2688" s="147"/>
      <c r="R2688" s="149"/>
    </row>
    <row r="2689" spans="1:24" ht="30" customHeight="1">
      <c r="A2689" s="1406" t="s">
        <v>316</v>
      </c>
      <c r="B2689" s="1407"/>
      <c r="C2689" s="1408"/>
      <c r="D2689" s="1270" t="s">
        <v>1579</v>
      </c>
      <c r="E2689" s="1371"/>
      <c r="F2689" s="1371"/>
      <c r="G2689" s="1371"/>
      <c r="H2689" s="1371"/>
      <c r="I2689" s="1371"/>
      <c r="J2689" s="1371"/>
      <c r="K2689" s="1371"/>
      <c r="L2689" s="1372"/>
      <c r="M2689" s="1146"/>
      <c r="N2689" s="1103"/>
      <c r="O2689"/>
      <c r="P2689" s="159"/>
      <c r="Q2689" s="147"/>
      <c r="R2689" s="149"/>
    </row>
    <row r="2690" spans="1:24" ht="30" customHeight="1">
      <c r="A2690" s="1406" t="s">
        <v>317</v>
      </c>
      <c r="B2690" s="1407"/>
      <c r="C2690" s="1408"/>
      <c r="D2690" s="1270" t="s">
        <v>1580</v>
      </c>
      <c r="E2690" s="1371"/>
      <c r="F2690" s="1371"/>
      <c r="G2690" s="1371"/>
      <c r="H2690" s="1371"/>
      <c r="I2690" s="1371"/>
      <c r="J2690" s="1371"/>
      <c r="K2690" s="1371"/>
      <c r="L2690" s="1372"/>
      <c r="M2690" s="1146"/>
      <c r="N2690" s="1103"/>
      <c r="O2690"/>
      <c r="P2690" s="159"/>
      <c r="Q2690" s="147"/>
      <c r="R2690" s="149"/>
    </row>
    <row r="2691" spans="1:24" ht="30" customHeight="1">
      <c r="A2691" s="1406" t="s">
        <v>318</v>
      </c>
      <c r="B2691" s="1407"/>
      <c r="C2691" s="1408"/>
      <c r="D2691" s="1270" t="s">
        <v>1581</v>
      </c>
      <c r="E2691" s="1371"/>
      <c r="F2691" s="1371"/>
      <c r="G2691" s="1371"/>
      <c r="H2691" s="1371"/>
      <c r="I2691" s="1371"/>
      <c r="J2691" s="1371"/>
      <c r="K2691" s="1371"/>
      <c r="L2691" s="1372"/>
      <c r="M2691" s="1146"/>
      <c r="N2691" s="282"/>
      <c r="O2691" s="34"/>
      <c r="P2691" s="283"/>
      <c r="Q2691" s="282"/>
      <c r="R2691" s="284"/>
    </row>
    <row r="2692" spans="1:24" ht="30" customHeight="1">
      <c r="A2692" s="1406" t="s">
        <v>320</v>
      </c>
      <c r="B2692" s="1407"/>
      <c r="C2692" s="1408"/>
      <c r="D2692" s="1270" t="s">
        <v>2751</v>
      </c>
      <c r="E2692" s="1371"/>
      <c r="F2692" s="1371"/>
      <c r="G2692" s="1371"/>
      <c r="H2692" s="1371"/>
      <c r="I2692" s="1371"/>
      <c r="J2692" s="1371"/>
      <c r="K2692" s="1371"/>
      <c r="L2692" s="1372"/>
      <c r="M2692" s="1146"/>
      <c r="N2692" s="282"/>
      <c r="O2692" s="34"/>
      <c r="P2692" s="283"/>
      <c r="Q2692" s="282"/>
      <c r="R2692" s="284"/>
    </row>
    <row r="2693" spans="1:24" ht="30" customHeight="1">
      <c r="A2693" s="1406" t="s">
        <v>322</v>
      </c>
      <c r="B2693" s="1407"/>
      <c r="C2693" s="1408"/>
      <c r="D2693" s="1270" t="s">
        <v>323</v>
      </c>
      <c r="E2693" s="1371"/>
      <c r="F2693" s="1371"/>
      <c r="G2693" s="1371"/>
      <c r="H2693" s="1371"/>
      <c r="I2693" s="1371"/>
      <c r="J2693" s="1371"/>
      <c r="K2693" s="1371"/>
      <c r="L2693" s="1372"/>
      <c r="M2693" s="1146"/>
      <c r="N2693" s="1103"/>
      <c r="O2693"/>
      <c r="P2693" s="159"/>
      <c r="Q2693" s="147"/>
      <c r="R2693" s="149"/>
    </row>
    <row r="2694" spans="1:24" ht="30" customHeight="1">
      <c r="A2694" s="1406" t="s">
        <v>324</v>
      </c>
      <c r="B2694" s="1407"/>
      <c r="C2694" s="1408"/>
      <c r="D2694" s="1270" t="s">
        <v>1582</v>
      </c>
      <c r="E2694" s="1371"/>
      <c r="F2694" s="1371"/>
      <c r="G2694" s="1371"/>
      <c r="H2694" s="1371"/>
      <c r="I2694" s="1371"/>
      <c r="J2694" s="1371"/>
      <c r="K2694" s="1371"/>
      <c r="L2694" s="1372"/>
      <c r="M2694" s="1146"/>
      <c r="N2694" s="1103"/>
      <c r="O2694"/>
      <c r="P2694" s="159"/>
      <c r="Q2694" s="147"/>
      <c r="R2694" s="149"/>
    </row>
    <row r="2695" spans="1:24" ht="75" customHeight="1">
      <c r="A2695" s="1406" t="s">
        <v>325</v>
      </c>
      <c r="B2695" s="1407"/>
      <c r="C2695" s="1408"/>
      <c r="D2695" s="1270" t="s">
        <v>391</v>
      </c>
      <c r="E2695" s="1371"/>
      <c r="F2695" s="1371"/>
      <c r="G2695" s="1371"/>
      <c r="H2695" s="1371"/>
      <c r="I2695" s="1371"/>
      <c r="J2695" s="1371"/>
      <c r="K2695" s="1371"/>
      <c r="L2695" s="1372"/>
      <c r="M2695" s="1146"/>
      <c r="N2695" s="1103"/>
      <c r="O2695"/>
      <c r="P2695" s="159"/>
      <c r="Q2695" s="147"/>
      <c r="R2695" s="149"/>
      <c r="U2695" s="32"/>
      <c r="V2695" s="32"/>
      <c r="W2695" s="32"/>
      <c r="X2695" s="32"/>
    </row>
    <row r="2696" spans="1:24" s="32" customFormat="1" ht="90" customHeight="1" thickBot="1">
      <c r="A2696" s="1406" t="s">
        <v>327</v>
      </c>
      <c r="B2696" s="1407"/>
      <c r="C2696" s="1408"/>
      <c r="D2696" s="1270" t="s">
        <v>1583</v>
      </c>
      <c r="E2696" s="1371"/>
      <c r="F2696" s="1371"/>
      <c r="G2696" s="1371"/>
      <c r="H2696" s="1371"/>
      <c r="I2696" s="1371"/>
      <c r="J2696" s="1371"/>
      <c r="K2696" s="1371"/>
      <c r="L2696" s="1372"/>
      <c r="M2696" s="1146"/>
      <c r="N2696" s="1103"/>
      <c r="O2696" s="1119"/>
      <c r="P2696"/>
      <c r="Q2696"/>
      <c r="R2696"/>
      <c r="S2696"/>
      <c r="T2696" s="84"/>
      <c r="U2696" s="38"/>
      <c r="V2696" s="38"/>
      <c r="W2696" s="38"/>
      <c r="X2696" s="38"/>
    </row>
    <row r="2697" spans="1:24" s="38" customFormat="1" ht="30" customHeight="1" thickBot="1">
      <c r="A2697" s="1165"/>
      <c r="B2697" s="1166"/>
      <c r="C2697" s="1166"/>
      <c r="D2697" s="1166"/>
      <c r="E2697" s="1166"/>
      <c r="F2697" s="1166"/>
      <c r="G2697" s="1166"/>
      <c r="H2697" s="1166"/>
      <c r="I2697" s="1166"/>
      <c r="J2697" s="1166"/>
      <c r="K2697" s="1166"/>
      <c r="L2697" s="1167"/>
      <c r="M2697" s="1146"/>
      <c r="N2697" s="1103"/>
      <c r="O2697" s="1119"/>
      <c r="P2697" s="39"/>
      <c r="Q2697" s="39"/>
      <c r="R2697" s="39"/>
      <c r="S2697" s="84"/>
      <c r="T2697" s="44"/>
      <c r="U2697"/>
      <c r="V2697"/>
      <c r="W2697"/>
      <c r="X2697"/>
    </row>
    <row r="2698" spans="1:24" ht="30" customHeight="1">
      <c r="A2698" s="162" t="s">
        <v>280</v>
      </c>
      <c r="B2698" s="163">
        <v>7313</v>
      </c>
      <c r="C2698" s="1290" t="s">
        <v>1584</v>
      </c>
      <c r="D2698" s="1291"/>
      <c r="E2698" s="216" t="s">
        <v>282</v>
      </c>
      <c r="F2698" s="217" t="s">
        <v>8</v>
      </c>
      <c r="G2698" s="58" t="s">
        <v>290</v>
      </c>
      <c r="H2698" s="218">
        <v>6695</v>
      </c>
      <c r="I2698" s="216" t="s">
        <v>283</v>
      </c>
      <c r="J2698" s="1199" t="s">
        <v>2529</v>
      </c>
      <c r="K2698" s="1199"/>
      <c r="L2698" s="1200"/>
      <c r="M2698" s="1146"/>
      <c r="P2698" s="34"/>
      <c r="Q2698" s="34"/>
      <c r="R2698" s="34"/>
      <c r="S2698" s="44"/>
    </row>
    <row r="2699" spans="1:24" ht="30" customHeight="1">
      <c r="A2699" s="165" t="s">
        <v>304</v>
      </c>
      <c r="B2699" s="1324" t="s">
        <v>330</v>
      </c>
      <c r="C2699" s="1325"/>
      <c r="D2699" s="1326"/>
      <c r="E2699" s="219" t="s">
        <v>295</v>
      </c>
      <c r="F2699" s="219" t="s">
        <v>331</v>
      </c>
      <c r="G2699" s="1327" t="s">
        <v>332</v>
      </c>
      <c r="H2699" s="1328"/>
      <c r="I2699" s="167" t="s">
        <v>305</v>
      </c>
      <c r="J2699" s="167"/>
      <c r="K2699" s="1206" t="s">
        <v>297</v>
      </c>
      <c r="L2699" s="1207"/>
      <c r="M2699" s="1146"/>
      <c r="O2699"/>
      <c r="P2699" s="159"/>
      <c r="Q2699" s="147"/>
      <c r="R2699" s="149"/>
    </row>
    <row r="2700" spans="1:24" ht="30" customHeight="1">
      <c r="A2700" s="658" t="s">
        <v>414</v>
      </c>
      <c r="B2700" s="1182" t="s">
        <v>1585</v>
      </c>
      <c r="C2700" s="1183"/>
      <c r="D2700" s="1184"/>
      <c r="E2700" s="115">
        <v>135.4</v>
      </c>
      <c r="F2700" s="5" t="s">
        <v>8</v>
      </c>
      <c r="G2700" s="296"/>
      <c r="H2700" s="297"/>
      <c r="I2700" s="10">
        <v>1.07</v>
      </c>
      <c r="J2700" s="10"/>
      <c r="K2700" s="115">
        <f>+E2700*I2700</f>
        <v>144.87800000000001</v>
      </c>
      <c r="L2700" s="10" t="s">
        <v>8</v>
      </c>
      <c r="M2700" s="1146"/>
      <c r="O2700"/>
      <c r="P2700" s="159"/>
      <c r="Q2700" s="147"/>
      <c r="R2700" s="149"/>
    </row>
    <row r="2701" spans="1:24" ht="30" customHeight="1">
      <c r="A2701" s="659" t="s">
        <v>418</v>
      </c>
      <c r="B2701" s="1329" t="s">
        <v>1110</v>
      </c>
      <c r="C2701" s="1329"/>
      <c r="D2701" s="1329"/>
      <c r="E2701" s="115">
        <v>4.1399999999999997</v>
      </c>
      <c r="F2701" s="10" t="s">
        <v>8</v>
      </c>
      <c r="G2701" s="10"/>
      <c r="H2701" s="10"/>
      <c r="I2701" s="10">
        <v>1.07</v>
      </c>
      <c r="J2701" s="10"/>
      <c r="K2701" s="115">
        <f>+E2701*I2701</f>
        <v>4.4298000000000002</v>
      </c>
      <c r="L2701" s="10" t="s">
        <v>8</v>
      </c>
      <c r="M2701" s="1146"/>
      <c r="N2701" s="1103"/>
      <c r="O2701"/>
      <c r="P2701" s="159"/>
      <c r="Q2701" s="147"/>
      <c r="R2701" s="149"/>
      <c r="T2701" s="38"/>
      <c r="U2701" s="38"/>
      <c r="V2701" s="38"/>
      <c r="W2701" s="38"/>
      <c r="X2701" s="38"/>
    </row>
    <row r="2702" spans="1:24" s="38" customFormat="1" ht="30" customHeight="1">
      <c r="A2702" s="649"/>
      <c r="B2702" s="1329"/>
      <c r="C2702" s="1329"/>
      <c r="D2702" s="1329"/>
      <c r="E2702" s="115"/>
      <c r="F2702" s="10"/>
      <c r="G2702" s="494"/>
      <c r="H2702" s="10"/>
      <c r="I2702" s="10"/>
      <c r="J2702" s="10" t="s">
        <v>346</v>
      </c>
      <c r="K2702" s="115">
        <f>SUM(K2700:K2701)</f>
        <v>149.30780000000001</v>
      </c>
      <c r="L2702" s="10" t="s">
        <v>8</v>
      </c>
      <c r="M2702" s="1146"/>
      <c r="N2702" s="1103"/>
      <c r="P2702" s="159"/>
      <c r="Q2702" s="147"/>
      <c r="R2702" s="149"/>
      <c r="T2702"/>
      <c r="U2702"/>
      <c r="V2702"/>
      <c r="W2702"/>
      <c r="X2702"/>
    </row>
    <row r="2703" spans="1:24" ht="30" customHeight="1">
      <c r="A2703" s="20"/>
      <c r="B2703" s="157"/>
      <c r="C2703" s="157"/>
      <c r="D2703" s="157"/>
      <c r="E2703" s="153"/>
      <c r="F2703" s="1174" t="s">
        <v>308</v>
      </c>
      <c r="G2703" s="1208" t="s">
        <v>309</v>
      </c>
      <c r="H2703" s="1208"/>
      <c r="I2703" s="1208"/>
      <c r="J2703" s="1208"/>
      <c r="K2703" s="123">
        <v>1.06</v>
      </c>
      <c r="L2703" s="10"/>
      <c r="M2703" s="1146"/>
      <c r="N2703" s="1103"/>
      <c r="O2703"/>
      <c r="P2703" s="159"/>
      <c r="Q2703" s="147"/>
      <c r="R2703" s="149"/>
    </row>
    <row r="2704" spans="1:24" ht="30" customHeight="1">
      <c r="A2704" s="20"/>
      <c r="B2704" s="157"/>
      <c r="C2704" s="157"/>
      <c r="D2704" s="157"/>
      <c r="E2704" s="153"/>
      <c r="F2704" s="1175"/>
      <c r="G2704" s="1209" t="s">
        <v>310</v>
      </c>
      <c r="H2704" s="1209"/>
      <c r="I2704" s="1209"/>
      <c r="J2704" s="1209"/>
      <c r="K2704" s="123">
        <v>1.07</v>
      </c>
      <c r="L2704" s="10"/>
      <c r="M2704" s="1146"/>
      <c r="N2704" s="1103"/>
      <c r="O2704"/>
      <c r="P2704" s="159"/>
      <c r="Q2704" s="147"/>
      <c r="R2704" s="149"/>
    </row>
    <row r="2705" spans="1:24" ht="30" customHeight="1">
      <c r="A2705" s="10"/>
      <c r="B2705" s="10"/>
      <c r="C2705" s="13"/>
      <c r="D2705" s="13"/>
      <c r="E2705" s="13"/>
      <c r="F2705" s="13"/>
      <c r="G2705" s="13"/>
      <c r="H2705" s="13"/>
      <c r="I2705" s="13"/>
      <c r="J2705" s="13" t="s">
        <v>289</v>
      </c>
      <c r="K2705" s="14">
        <f>+K2702*K2703/K2704</f>
        <v>147.91240000000002</v>
      </c>
      <c r="L2705" s="10" t="s">
        <v>8</v>
      </c>
      <c r="M2705" s="1146"/>
      <c r="N2705" s="1103"/>
      <c r="O2705"/>
      <c r="P2705" s="159"/>
      <c r="Q2705" s="147"/>
      <c r="R2705" s="149"/>
      <c r="T2705" s="25"/>
      <c r="U2705" s="25"/>
      <c r="V2705" s="25"/>
      <c r="W2705" s="25"/>
      <c r="X2705" s="25"/>
    </row>
    <row r="2706" spans="1:24" s="25" customFormat="1" ht="30" customHeight="1">
      <c r="A2706" s="10"/>
      <c r="B2706" s="10"/>
      <c r="C2706" s="13"/>
      <c r="D2706" s="13"/>
      <c r="E2706" s="13"/>
      <c r="F2706" s="13"/>
      <c r="G2706" s="226"/>
      <c r="H2706" s="13"/>
      <c r="I2706" s="461" t="s">
        <v>385</v>
      </c>
      <c r="J2706" s="139">
        <f>VLOOKUP(B2698,'Mil Cost Premiums for RUCs'!$A$4:$R$266,18,FALSE)</f>
        <v>1.3319480854780448</v>
      </c>
      <c r="K2706" s="14">
        <f>+K2705*J2706</f>
        <v>197.01163799846279</v>
      </c>
      <c r="L2706" s="10" t="s">
        <v>8</v>
      </c>
      <c r="M2706" s="1146"/>
      <c r="N2706" s="1103"/>
      <c r="P2706" s="229"/>
      <c r="Q2706" s="1103"/>
      <c r="R2706" s="230"/>
      <c r="T2706"/>
      <c r="U2706"/>
      <c r="V2706"/>
      <c r="W2706"/>
      <c r="X2706"/>
    </row>
    <row r="2707" spans="1:24" ht="60" customHeight="1">
      <c r="A2707" s="1336" t="s">
        <v>313</v>
      </c>
      <c r="B2707" s="1315"/>
      <c r="C2707" s="1315"/>
      <c r="D2707" s="1315"/>
      <c r="E2707" s="1315"/>
      <c r="F2707" s="1315"/>
      <c r="G2707" s="1315"/>
      <c r="H2707" s="1315"/>
      <c r="I2707" s="1315"/>
      <c r="J2707" s="1315"/>
      <c r="K2707" s="1315"/>
      <c r="L2707" s="1316"/>
      <c r="M2707" s="1146"/>
      <c r="N2707" s="1103"/>
      <c r="O2707"/>
      <c r="P2707" s="159"/>
      <c r="Q2707" s="147"/>
      <c r="R2707" s="149"/>
    </row>
    <row r="2708" spans="1:24" ht="30" customHeight="1">
      <c r="A2708" s="1362" t="s">
        <v>314</v>
      </c>
      <c r="B2708" s="1363"/>
      <c r="C2708" s="1364"/>
      <c r="D2708" s="1270" t="s">
        <v>420</v>
      </c>
      <c r="E2708" s="1371"/>
      <c r="F2708" s="1371"/>
      <c r="G2708" s="1371"/>
      <c r="H2708" s="1371"/>
      <c r="I2708" s="1371"/>
      <c r="J2708" s="1371"/>
      <c r="K2708" s="1371"/>
      <c r="L2708" s="1372"/>
      <c r="M2708" s="1146"/>
      <c r="N2708" s="1103"/>
      <c r="O2708"/>
      <c r="P2708" s="159"/>
      <c r="Q2708" s="147"/>
      <c r="R2708" s="149"/>
    </row>
    <row r="2709" spans="1:24" ht="30" customHeight="1">
      <c r="A2709" s="1362" t="s">
        <v>316</v>
      </c>
      <c r="B2709" s="1363"/>
      <c r="C2709" s="1364"/>
      <c r="D2709" s="1270" t="s">
        <v>1586</v>
      </c>
      <c r="E2709" s="1371"/>
      <c r="F2709" s="1371"/>
      <c r="G2709" s="1371"/>
      <c r="H2709" s="1371"/>
      <c r="I2709" s="1371"/>
      <c r="J2709" s="1371"/>
      <c r="K2709" s="1371"/>
      <c r="L2709" s="1372"/>
      <c r="M2709" s="1146"/>
      <c r="N2709" s="1103"/>
      <c r="O2709"/>
      <c r="P2709" s="159"/>
      <c r="Q2709" s="147"/>
      <c r="R2709" s="149"/>
    </row>
    <row r="2710" spans="1:24" ht="30" customHeight="1">
      <c r="A2710" s="1362" t="s">
        <v>317</v>
      </c>
      <c r="B2710" s="1363"/>
      <c r="C2710" s="1364"/>
      <c r="D2710" s="1626" t="s">
        <v>2880</v>
      </c>
      <c r="E2710" s="1627"/>
      <c r="F2710" s="1627"/>
      <c r="G2710" s="1627"/>
      <c r="H2710" s="1627"/>
      <c r="I2710" s="1627"/>
      <c r="J2710" s="1627"/>
      <c r="K2710" s="1627"/>
      <c r="L2710" s="1628"/>
      <c r="M2710" s="1146"/>
      <c r="N2710" s="1103"/>
      <c r="O2710"/>
      <c r="P2710" s="159"/>
      <c r="Q2710" s="147"/>
      <c r="R2710" s="149"/>
    </row>
    <row r="2711" spans="1:24" ht="32.25" customHeight="1">
      <c r="A2711" s="1362" t="s">
        <v>318</v>
      </c>
      <c r="B2711" s="1363"/>
      <c r="C2711" s="1364"/>
      <c r="D2711" s="1270" t="s">
        <v>1587</v>
      </c>
      <c r="E2711" s="1371"/>
      <c r="F2711" s="1371"/>
      <c r="G2711" s="1371"/>
      <c r="H2711" s="1371"/>
      <c r="I2711" s="1371"/>
      <c r="J2711" s="1371"/>
      <c r="K2711" s="1371"/>
      <c r="L2711" s="1372"/>
      <c r="M2711" s="1146"/>
      <c r="N2711" s="1103"/>
      <c r="O2711"/>
      <c r="P2711" s="159"/>
      <c r="Q2711" s="147"/>
      <c r="R2711" s="149"/>
    </row>
    <row r="2712" spans="1:24" ht="30" customHeight="1">
      <c r="A2712" s="1362" t="s">
        <v>320</v>
      </c>
      <c r="B2712" s="1363"/>
      <c r="C2712" s="1364"/>
      <c r="D2712" s="1270" t="s">
        <v>2752</v>
      </c>
      <c r="E2712" s="1371"/>
      <c r="F2712" s="1371"/>
      <c r="G2712" s="1371"/>
      <c r="H2712" s="1371"/>
      <c r="I2712" s="1371"/>
      <c r="J2712" s="1371"/>
      <c r="K2712" s="1371"/>
      <c r="L2712" s="1372"/>
      <c r="M2712" s="1146"/>
      <c r="N2712" s="282"/>
      <c r="O2712" s="34"/>
      <c r="P2712" s="283"/>
      <c r="Q2712" s="282"/>
      <c r="R2712" s="284"/>
    </row>
    <row r="2713" spans="1:24" ht="30" customHeight="1">
      <c r="A2713" s="1362" t="s">
        <v>322</v>
      </c>
      <c r="B2713" s="1363"/>
      <c r="C2713" s="1364"/>
      <c r="D2713" s="1270" t="s">
        <v>1588</v>
      </c>
      <c r="E2713" s="1371"/>
      <c r="F2713" s="1371"/>
      <c r="G2713" s="1371"/>
      <c r="H2713" s="1371"/>
      <c r="I2713" s="1371"/>
      <c r="J2713" s="1371"/>
      <c r="K2713" s="1371"/>
      <c r="L2713" s="1372"/>
      <c r="M2713" s="1146"/>
      <c r="N2713" s="282"/>
      <c r="O2713" s="34"/>
      <c r="P2713" s="283"/>
      <c r="Q2713" s="282"/>
      <c r="R2713" s="284"/>
    </row>
    <row r="2714" spans="1:24" ht="30" customHeight="1">
      <c r="A2714" s="1362" t="s">
        <v>324</v>
      </c>
      <c r="B2714" s="1363"/>
      <c r="C2714" s="1364"/>
      <c r="D2714" s="1270" t="s">
        <v>1267</v>
      </c>
      <c r="E2714" s="1371"/>
      <c r="F2714" s="1371"/>
      <c r="G2714" s="1371"/>
      <c r="H2714" s="1371"/>
      <c r="I2714" s="1371"/>
      <c r="J2714" s="1371"/>
      <c r="K2714" s="1371"/>
      <c r="L2714" s="1372"/>
      <c r="M2714" s="1146"/>
      <c r="N2714" s="1103"/>
      <c r="O2714"/>
      <c r="P2714" s="159"/>
      <c r="Q2714" s="147"/>
      <c r="R2714" s="149"/>
    </row>
    <row r="2715" spans="1:24" ht="75" customHeight="1">
      <c r="A2715" s="1362" t="s">
        <v>325</v>
      </c>
      <c r="B2715" s="1363"/>
      <c r="C2715" s="1364"/>
      <c r="D2715" s="1270" t="s">
        <v>391</v>
      </c>
      <c r="E2715" s="1371"/>
      <c r="F2715" s="1371"/>
      <c r="G2715" s="1371"/>
      <c r="H2715" s="1371"/>
      <c r="I2715" s="1371"/>
      <c r="J2715" s="1371"/>
      <c r="K2715" s="1371"/>
      <c r="L2715" s="1372"/>
      <c r="M2715" s="1146"/>
      <c r="N2715" s="1103"/>
      <c r="O2715"/>
      <c r="P2715" s="159"/>
      <c r="Q2715" s="147"/>
      <c r="R2715" s="149"/>
    </row>
    <row r="2716" spans="1:24" ht="30" customHeight="1" thickBot="1">
      <c r="A2716" s="1362" t="s">
        <v>327</v>
      </c>
      <c r="B2716" s="1363"/>
      <c r="C2716" s="1364"/>
      <c r="D2716" s="1270" t="s">
        <v>1589</v>
      </c>
      <c r="E2716" s="1371"/>
      <c r="F2716" s="1371"/>
      <c r="G2716" s="1371"/>
      <c r="H2716" s="1371"/>
      <c r="I2716" s="1371"/>
      <c r="J2716" s="1371"/>
      <c r="K2716" s="1371"/>
      <c r="L2716" s="1372"/>
      <c r="M2716" s="1146"/>
      <c r="N2716" s="1103"/>
      <c r="O2716"/>
      <c r="P2716" s="159"/>
      <c r="Q2716" s="147"/>
      <c r="R2716" s="149"/>
    </row>
    <row r="2717" spans="1:24" ht="30" customHeight="1" thickBot="1">
      <c r="A2717" s="1165"/>
      <c r="B2717" s="1166"/>
      <c r="C2717" s="1166"/>
      <c r="D2717" s="1166"/>
      <c r="E2717" s="1166"/>
      <c r="F2717" s="1166"/>
      <c r="G2717" s="1166"/>
      <c r="H2717" s="1166"/>
      <c r="I2717" s="1166"/>
      <c r="J2717" s="1166"/>
      <c r="K2717" s="1166"/>
      <c r="L2717" s="1167"/>
      <c r="M2717" s="1146"/>
      <c r="N2717" s="1103"/>
      <c r="O2717"/>
      <c r="P2717" s="159"/>
      <c r="Q2717" s="147"/>
      <c r="R2717" s="149"/>
    </row>
    <row r="2718" spans="1:24" ht="30" customHeight="1">
      <c r="A2718" s="27" t="s">
        <v>280</v>
      </c>
      <c r="B2718" s="82">
        <v>7314</v>
      </c>
      <c r="C2718" s="1197" t="s">
        <v>1590</v>
      </c>
      <c r="D2718" s="1198"/>
      <c r="E2718" s="74" t="s">
        <v>282</v>
      </c>
      <c r="F2718" s="75" t="s">
        <v>8</v>
      </c>
      <c r="G2718" s="58" t="s">
        <v>290</v>
      </c>
      <c r="H2718" s="76">
        <v>7052</v>
      </c>
      <c r="I2718" s="74" t="s">
        <v>283</v>
      </c>
      <c r="J2718" s="1199" t="s">
        <v>2529</v>
      </c>
      <c r="K2718" s="1199"/>
      <c r="L2718" s="1200"/>
      <c r="M2718" s="1146"/>
      <c r="N2718" s="1103"/>
      <c r="O2718"/>
      <c r="P2718" s="159"/>
      <c r="Q2718" s="147"/>
      <c r="R2718" s="149"/>
    </row>
    <row r="2719" spans="1:24" ht="30" customHeight="1">
      <c r="A2719" s="37" t="s">
        <v>304</v>
      </c>
      <c r="B2719" s="1201" t="s">
        <v>330</v>
      </c>
      <c r="C2719" s="1202"/>
      <c r="D2719" s="1203"/>
      <c r="E2719" s="150" t="s">
        <v>295</v>
      </c>
      <c r="F2719" s="150" t="s">
        <v>331</v>
      </c>
      <c r="G2719" s="1204" t="s">
        <v>332</v>
      </c>
      <c r="H2719" s="1205"/>
      <c r="I2719" s="77" t="s">
        <v>305</v>
      </c>
      <c r="J2719" s="77"/>
      <c r="K2719" s="1206" t="s">
        <v>297</v>
      </c>
      <c r="L2719" s="1207"/>
      <c r="M2719" s="1146"/>
      <c r="N2719" s="1103"/>
      <c r="O2719"/>
      <c r="P2719" s="159"/>
      <c r="Q2719" s="147"/>
      <c r="R2719" s="149"/>
    </row>
    <row r="2720" spans="1:24" ht="30" customHeight="1">
      <c r="A2720" s="652" t="s">
        <v>1591</v>
      </c>
      <c r="B2720" s="1267" t="s">
        <v>1592</v>
      </c>
      <c r="C2720" s="1267"/>
      <c r="D2720" s="1267"/>
      <c r="E2720" s="153">
        <v>137.61000000000001</v>
      </c>
      <c r="F2720" s="20" t="s">
        <v>8</v>
      </c>
      <c r="G2720" s="20"/>
      <c r="H2720" s="20"/>
      <c r="I2720" s="20">
        <v>1.07</v>
      </c>
      <c r="J2720" s="20"/>
      <c r="K2720" s="153">
        <f>+E2720*I2720</f>
        <v>147.24270000000001</v>
      </c>
      <c r="L2720" s="20" t="s">
        <v>8</v>
      </c>
      <c r="M2720" s="1146"/>
      <c r="N2720" s="1103"/>
      <c r="O2720"/>
      <c r="P2720" s="159"/>
      <c r="Q2720" s="147"/>
      <c r="R2720" s="149"/>
    </row>
    <row r="2721" spans="1:24" ht="30" customHeight="1">
      <c r="A2721" s="653" t="s">
        <v>418</v>
      </c>
      <c r="B2721" s="1267" t="s">
        <v>1110</v>
      </c>
      <c r="C2721" s="1267"/>
      <c r="D2721" s="1267"/>
      <c r="E2721" s="153">
        <v>4.1399999999999997</v>
      </c>
      <c r="F2721" s="20" t="s">
        <v>8</v>
      </c>
      <c r="G2721" s="20"/>
      <c r="H2721" s="20"/>
      <c r="I2721" s="20">
        <v>1.07</v>
      </c>
      <c r="J2721" s="20"/>
      <c r="K2721" s="153">
        <f>+E2721*I2721</f>
        <v>4.4298000000000002</v>
      </c>
      <c r="L2721" s="20" t="s">
        <v>8</v>
      </c>
      <c r="M2721" s="1146"/>
      <c r="N2721" s="1103"/>
      <c r="O2721"/>
      <c r="P2721" s="159"/>
      <c r="Q2721" s="147"/>
      <c r="R2721" s="149"/>
    </row>
    <row r="2722" spans="1:24" ht="30" customHeight="1">
      <c r="A2722" s="629"/>
      <c r="B2722" s="1267"/>
      <c r="C2722" s="1267"/>
      <c r="D2722" s="1267"/>
      <c r="E2722" s="153"/>
      <c r="F2722" s="20"/>
      <c r="G2722" s="206"/>
      <c r="H2722" s="20"/>
      <c r="I2722" s="20"/>
      <c r="J2722" s="20" t="s">
        <v>346</v>
      </c>
      <c r="K2722" s="153">
        <f>SUM(K2720:K2721)</f>
        <v>151.67250000000001</v>
      </c>
      <c r="L2722" s="20" t="s">
        <v>8</v>
      </c>
      <c r="M2722" s="1146"/>
      <c r="N2722" s="1103"/>
      <c r="O2722"/>
      <c r="P2722" s="159"/>
      <c r="Q2722" s="147"/>
      <c r="R2722" s="149"/>
    </row>
    <row r="2723" spans="1:24" ht="30" customHeight="1">
      <c r="A2723" s="45"/>
      <c r="B2723" s="157"/>
      <c r="C2723" s="157"/>
      <c r="D2723" s="157"/>
      <c r="E2723" s="153"/>
      <c r="F2723" s="1174" t="s">
        <v>308</v>
      </c>
      <c r="G2723" s="1208" t="s">
        <v>309</v>
      </c>
      <c r="H2723" s="1208"/>
      <c r="I2723" s="1208"/>
      <c r="J2723" s="1208"/>
      <c r="K2723" s="123">
        <v>1.06</v>
      </c>
      <c r="L2723" s="10"/>
      <c r="M2723" s="1146"/>
      <c r="N2723" s="1103"/>
      <c r="O2723"/>
      <c r="P2723" s="159"/>
      <c r="Q2723" s="147"/>
      <c r="R2723" s="149"/>
    </row>
    <row r="2724" spans="1:24" ht="30" customHeight="1">
      <c r="A2724" s="45"/>
      <c r="B2724" s="157"/>
      <c r="C2724" s="157"/>
      <c r="D2724" s="157"/>
      <c r="E2724" s="153"/>
      <c r="F2724" s="1175"/>
      <c r="G2724" s="1209" t="s">
        <v>310</v>
      </c>
      <c r="H2724" s="1209"/>
      <c r="I2724" s="1209"/>
      <c r="J2724" s="1209"/>
      <c r="K2724" s="123">
        <v>1.07</v>
      </c>
      <c r="L2724" s="10"/>
      <c r="M2724" s="1146"/>
      <c r="N2724" s="1103"/>
      <c r="O2724"/>
      <c r="P2724" s="159"/>
      <c r="Q2724" s="147"/>
      <c r="R2724" s="149"/>
    </row>
    <row r="2725" spans="1:24" ht="30" customHeight="1">
      <c r="A2725" s="45"/>
      <c r="B2725" s="20"/>
      <c r="C2725" s="18"/>
      <c r="D2725" s="18"/>
      <c r="E2725" s="18"/>
      <c r="F2725" s="18"/>
      <c r="G2725" s="18"/>
      <c r="H2725" s="18"/>
      <c r="I2725" s="18"/>
      <c r="J2725" s="18" t="s">
        <v>289</v>
      </c>
      <c r="K2725" s="23">
        <f>+K2722*K2723/K2724</f>
        <v>150.25500000000002</v>
      </c>
      <c r="L2725" s="20" t="s">
        <v>8</v>
      </c>
      <c r="M2725" s="1146"/>
      <c r="N2725" s="1103"/>
      <c r="O2725"/>
      <c r="P2725" s="159"/>
      <c r="Q2725" s="147"/>
      <c r="R2725" s="149"/>
    </row>
    <row r="2726" spans="1:24" ht="30" customHeight="1" thickBot="1">
      <c r="A2726" s="45"/>
      <c r="B2726" s="20"/>
      <c r="C2726" s="18"/>
      <c r="D2726" s="18"/>
      <c r="E2726" s="18"/>
      <c r="F2726" s="18"/>
      <c r="G2726" s="160" t="s">
        <v>312</v>
      </c>
      <c r="H2726" s="18"/>
      <c r="I2726" s="18"/>
      <c r="J2726" s="139">
        <f>VLOOKUP(B2718,'Mil Cost Premiums for RUCs'!$A$4:$R$266,18,FALSE)</f>
        <v>1.3319480854780448</v>
      </c>
      <c r="K2726" s="23">
        <f>+K2725*J2726</f>
        <v>200.13185958350365</v>
      </c>
      <c r="L2726" s="20" t="s">
        <v>8</v>
      </c>
      <c r="M2726" s="1146"/>
      <c r="N2726" s="1103"/>
      <c r="O2726"/>
      <c r="P2726" s="159"/>
      <c r="Q2726" s="147"/>
      <c r="R2726" s="149"/>
    </row>
    <row r="2727" spans="1:24" ht="30" customHeight="1" thickBot="1">
      <c r="A2727" s="1165"/>
      <c r="B2727" s="1166"/>
      <c r="C2727" s="1166"/>
      <c r="D2727" s="1166"/>
      <c r="E2727" s="1166"/>
      <c r="F2727" s="1166"/>
      <c r="G2727" s="1166"/>
      <c r="H2727" s="1166"/>
      <c r="I2727" s="1166"/>
      <c r="J2727" s="1166"/>
      <c r="K2727" s="1166"/>
      <c r="L2727" s="1167"/>
      <c r="M2727" s="1146"/>
      <c r="N2727" s="1103"/>
      <c r="O2727"/>
      <c r="P2727" s="159"/>
      <c r="Q2727" s="147"/>
      <c r="R2727" s="149"/>
      <c r="T2727" s="38"/>
      <c r="U2727" s="38"/>
      <c r="V2727" s="38"/>
      <c r="W2727" s="38"/>
      <c r="X2727" s="38"/>
    </row>
    <row r="2728" spans="1:24" s="38" customFormat="1" ht="30" customHeight="1">
      <c r="A2728" s="27" t="s">
        <v>280</v>
      </c>
      <c r="B2728" s="82">
        <v>7321</v>
      </c>
      <c r="C2728" s="1197" t="s">
        <v>1593</v>
      </c>
      <c r="D2728" s="1198"/>
      <c r="E2728" s="74" t="s">
        <v>282</v>
      </c>
      <c r="F2728" s="75" t="s">
        <v>8</v>
      </c>
      <c r="G2728" s="58" t="s">
        <v>290</v>
      </c>
      <c r="H2728" s="76">
        <v>115470</v>
      </c>
      <c r="I2728" s="74" t="s">
        <v>283</v>
      </c>
      <c r="J2728" s="1199" t="s">
        <v>2529</v>
      </c>
      <c r="K2728" s="1199"/>
      <c r="L2728" s="1200"/>
      <c r="M2728" s="1146"/>
      <c r="N2728" s="1103"/>
      <c r="P2728" s="159"/>
      <c r="Q2728" s="147"/>
      <c r="R2728" s="149"/>
      <c r="T2728"/>
      <c r="U2728"/>
      <c r="V2728"/>
      <c r="W2728"/>
      <c r="X2728"/>
    </row>
    <row r="2729" spans="1:24" ht="30" customHeight="1">
      <c r="A2729" s="37" t="s">
        <v>304</v>
      </c>
      <c r="B2729" s="1201" t="s">
        <v>330</v>
      </c>
      <c r="C2729" s="1202"/>
      <c r="D2729" s="1203"/>
      <c r="E2729" s="150" t="s">
        <v>295</v>
      </c>
      <c r="F2729" s="150" t="s">
        <v>331</v>
      </c>
      <c r="G2729" s="1204" t="s">
        <v>332</v>
      </c>
      <c r="H2729" s="1205"/>
      <c r="I2729" s="77" t="s">
        <v>305</v>
      </c>
      <c r="J2729" s="77"/>
      <c r="K2729" s="1206" t="s">
        <v>297</v>
      </c>
      <c r="L2729" s="1207"/>
      <c r="M2729" s="1146"/>
      <c r="N2729" s="1103"/>
      <c r="O2729"/>
      <c r="P2729" s="159"/>
      <c r="Q2729" s="147"/>
      <c r="R2729" s="149"/>
    </row>
    <row r="2730" spans="1:24" ht="30" customHeight="1">
      <c r="A2730" s="652" t="s">
        <v>1594</v>
      </c>
      <c r="B2730" s="1176" t="s">
        <v>1595</v>
      </c>
      <c r="C2730" s="1177"/>
      <c r="D2730" s="1178"/>
      <c r="E2730" s="153">
        <f>(64.5+103)/2</f>
        <v>83.75</v>
      </c>
      <c r="F2730" s="22" t="s">
        <v>8</v>
      </c>
      <c r="G2730" s="521"/>
      <c r="H2730" s="333"/>
      <c r="I2730" s="20">
        <v>1.05</v>
      </c>
      <c r="J2730" s="20"/>
      <c r="K2730" s="153">
        <f>+E2730*I2730</f>
        <v>87.9375</v>
      </c>
      <c r="L2730" s="20" t="s">
        <v>8</v>
      </c>
      <c r="M2730" s="1146"/>
      <c r="N2730" s="1103"/>
      <c r="O2730"/>
      <c r="P2730" s="159"/>
      <c r="Q2730" s="147"/>
      <c r="R2730" s="149"/>
    </row>
    <row r="2731" spans="1:24" ht="30" customHeight="1">
      <c r="A2731" s="653" t="s">
        <v>377</v>
      </c>
      <c r="B2731" s="1179" t="s">
        <v>1596</v>
      </c>
      <c r="C2731" s="1180"/>
      <c r="D2731" s="1180"/>
      <c r="E2731" s="153">
        <v>2.04</v>
      </c>
      <c r="F2731" s="22" t="s">
        <v>8</v>
      </c>
      <c r="G2731" s="521"/>
      <c r="H2731" s="333"/>
      <c r="I2731" s="20">
        <v>1.05</v>
      </c>
      <c r="J2731" s="20"/>
      <c r="K2731" s="153">
        <f>+E2731*I2731</f>
        <v>2.1420000000000003</v>
      </c>
      <c r="L2731" s="20" t="s">
        <v>8</v>
      </c>
      <c r="M2731" s="1146"/>
      <c r="N2731" s="1103"/>
      <c r="O2731"/>
      <c r="P2731" s="159"/>
      <c r="Q2731" s="147"/>
      <c r="R2731" s="149"/>
    </row>
    <row r="2732" spans="1:24" ht="30" customHeight="1">
      <c r="A2732" s="629"/>
      <c r="B2732" s="1267"/>
      <c r="C2732" s="1267"/>
      <c r="D2732" s="1267"/>
      <c r="E2732" s="153"/>
      <c r="F2732" s="20"/>
      <c r="G2732" s="206"/>
      <c r="H2732" s="20"/>
      <c r="I2732" s="20"/>
      <c r="J2732" s="20" t="s">
        <v>346</v>
      </c>
      <c r="K2732" s="153">
        <f>SUM(K2730:K2731)</f>
        <v>90.079499999999996</v>
      </c>
      <c r="L2732" s="20" t="s">
        <v>8</v>
      </c>
      <c r="M2732" s="1146"/>
      <c r="N2732" s="282"/>
      <c r="O2732" s="34"/>
      <c r="P2732" s="283"/>
      <c r="Q2732" s="282"/>
      <c r="R2732" s="284"/>
    </row>
    <row r="2733" spans="1:24" ht="30" customHeight="1">
      <c r="A2733" s="45"/>
      <c r="B2733" s="157"/>
      <c r="C2733" s="157"/>
      <c r="D2733" s="157"/>
      <c r="E2733" s="153"/>
      <c r="F2733" s="1174" t="s">
        <v>308</v>
      </c>
      <c r="G2733" s="1208" t="s">
        <v>309</v>
      </c>
      <c r="H2733" s="1208"/>
      <c r="I2733" s="1208"/>
      <c r="J2733" s="1208"/>
      <c r="K2733" s="123">
        <v>1.06</v>
      </c>
      <c r="L2733" s="10"/>
      <c r="M2733" s="1146"/>
      <c r="N2733" s="282"/>
      <c r="O2733" s="34"/>
      <c r="P2733" s="283"/>
      <c r="Q2733" s="282"/>
      <c r="R2733" s="284"/>
    </row>
    <row r="2734" spans="1:24" ht="30" customHeight="1">
      <c r="A2734" s="45"/>
      <c r="B2734" s="157"/>
      <c r="C2734" s="157"/>
      <c r="D2734" s="157"/>
      <c r="E2734" s="153"/>
      <c r="F2734" s="1175"/>
      <c r="G2734" s="1209" t="s">
        <v>310</v>
      </c>
      <c r="H2734" s="1209"/>
      <c r="I2734" s="1209"/>
      <c r="J2734" s="1209"/>
      <c r="K2734" s="123">
        <v>1.07</v>
      </c>
      <c r="L2734" s="10"/>
      <c r="M2734" s="1146"/>
      <c r="N2734" s="1103"/>
      <c r="O2734"/>
      <c r="P2734" s="159"/>
      <c r="Q2734" s="147"/>
      <c r="R2734" s="149"/>
    </row>
    <row r="2735" spans="1:24" ht="30" customHeight="1">
      <c r="A2735" s="45"/>
      <c r="B2735" s="20"/>
      <c r="C2735" s="18"/>
      <c r="D2735" s="18"/>
      <c r="E2735" s="18"/>
      <c r="F2735" s="18"/>
      <c r="G2735" s="18"/>
      <c r="H2735" s="18"/>
      <c r="I2735" s="18"/>
      <c r="J2735" s="20" t="s">
        <v>289</v>
      </c>
      <c r="K2735" s="23">
        <f>+K2732*K2733/K2734</f>
        <v>89.237635514018677</v>
      </c>
      <c r="L2735" s="20" t="s">
        <v>8</v>
      </c>
      <c r="M2735" s="1146"/>
      <c r="N2735" s="1103"/>
      <c r="O2735"/>
      <c r="P2735" s="159"/>
      <c r="Q2735" s="147"/>
      <c r="R2735" s="149"/>
    </row>
    <row r="2736" spans="1:24" ht="30" customHeight="1" thickBot="1">
      <c r="A2736" s="45"/>
      <c r="B2736" s="20"/>
      <c r="C2736" s="18"/>
      <c r="D2736" s="18"/>
      <c r="E2736" s="18"/>
      <c r="F2736" s="18"/>
      <c r="G2736" s="160" t="s">
        <v>312</v>
      </c>
      <c r="H2736" s="18"/>
      <c r="I2736" s="18"/>
      <c r="J2736" s="139">
        <f>VLOOKUP(B2728,'Mil Cost Premiums for RUCs'!$A$4:$R$266,18,FALSE)</f>
        <v>1.1838860786480316</v>
      </c>
      <c r="K2736" s="23">
        <f>+K2735*J2736</f>
        <v>105.64719437651389</v>
      </c>
      <c r="L2736" s="20" t="s">
        <v>8</v>
      </c>
      <c r="M2736" s="1146"/>
      <c r="N2736" s="1103"/>
      <c r="O2736"/>
      <c r="P2736" s="159"/>
      <c r="Q2736" s="147"/>
      <c r="R2736" s="149"/>
    </row>
    <row r="2737" spans="1:24" ht="30" customHeight="1" thickBot="1">
      <c r="A2737" s="1165"/>
      <c r="B2737" s="1166"/>
      <c r="C2737" s="1166"/>
      <c r="D2737" s="1166"/>
      <c r="E2737" s="1166"/>
      <c r="F2737" s="1166"/>
      <c r="G2737" s="1166"/>
      <c r="H2737" s="1166"/>
      <c r="I2737" s="1166"/>
      <c r="J2737" s="1166"/>
      <c r="K2737" s="1166"/>
      <c r="L2737" s="1167"/>
      <c r="M2737" s="1146"/>
      <c r="N2737" s="1103"/>
      <c r="O2737"/>
      <c r="P2737" s="159"/>
      <c r="Q2737" s="147"/>
      <c r="R2737" s="149"/>
      <c r="T2737" s="38"/>
      <c r="U2737" s="38"/>
      <c r="V2737" s="38"/>
      <c r="W2737" s="38"/>
      <c r="X2737" s="38"/>
    </row>
    <row r="2738" spans="1:24" s="38" customFormat="1" ht="30" customHeight="1">
      <c r="A2738" s="81" t="s">
        <v>280</v>
      </c>
      <c r="B2738" s="82">
        <v>7322</v>
      </c>
      <c r="C2738" s="1197" t="s">
        <v>1597</v>
      </c>
      <c r="D2738" s="1198"/>
      <c r="E2738" s="74" t="s">
        <v>282</v>
      </c>
      <c r="F2738" s="75" t="s">
        <v>8</v>
      </c>
      <c r="G2738" s="58" t="s">
        <v>290</v>
      </c>
      <c r="H2738" s="76">
        <v>1815</v>
      </c>
      <c r="I2738" s="74" t="s">
        <v>283</v>
      </c>
      <c r="J2738" s="1199" t="s">
        <v>2529</v>
      </c>
      <c r="K2738" s="1199"/>
      <c r="L2738" s="1200"/>
      <c r="M2738" s="1146"/>
      <c r="N2738" s="1103"/>
      <c r="P2738" s="159"/>
      <c r="Q2738" s="147"/>
      <c r="R2738" s="149"/>
      <c r="T2738"/>
      <c r="U2738"/>
      <c r="V2738"/>
      <c r="W2738"/>
      <c r="X2738"/>
    </row>
    <row r="2739" spans="1:24" ht="30" customHeight="1">
      <c r="A2739" s="79" t="s">
        <v>304</v>
      </c>
      <c r="B2739" s="1201" t="s">
        <v>330</v>
      </c>
      <c r="C2739" s="1202"/>
      <c r="D2739" s="1203"/>
      <c r="E2739" s="150" t="s">
        <v>295</v>
      </c>
      <c r="F2739" s="150" t="s">
        <v>331</v>
      </c>
      <c r="G2739" s="1204" t="s">
        <v>332</v>
      </c>
      <c r="H2739" s="1205"/>
      <c r="I2739" s="77" t="s">
        <v>305</v>
      </c>
      <c r="J2739" s="77"/>
      <c r="K2739" s="1206" t="s">
        <v>297</v>
      </c>
      <c r="L2739" s="1207"/>
      <c r="M2739" s="1146"/>
      <c r="N2739" s="1103"/>
      <c r="O2739"/>
      <c r="P2739" s="159"/>
      <c r="Q2739" s="147"/>
      <c r="R2739" s="149"/>
    </row>
    <row r="2740" spans="1:24" ht="30" customHeight="1">
      <c r="A2740" s="351" t="s">
        <v>1598</v>
      </c>
      <c r="B2740" s="1179" t="s">
        <v>1599</v>
      </c>
      <c r="C2740" s="1180"/>
      <c r="D2740" s="1181"/>
      <c r="E2740" s="153">
        <v>83.09</v>
      </c>
      <c r="F2740" s="22" t="s">
        <v>8</v>
      </c>
      <c r="G2740" s="521"/>
      <c r="H2740" s="333"/>
      <c r="I2740" s="20">
        <v>1.05</v>
      </c>
      <c r="J2740" s="20"/>
      <c r="K2740" s="153">
        <f>+E2740*I2740</f>
        <v>87.244500000000002</v>
      </c>
      <c r="L2740" s="20" t="s">
        <v>8</v>
      </c>
      <c r="M2740" s="1146"/>
      <c r="N2740" s="1103"/>
      <c r="O2740"/>
      <c r="P2740" s="159"/>
      <c r="Q2740" s="147"/>
      <c r="R2740" s="149"/>
    </row>
    <row r="2741" spans="1:24" ht="30" customHeight="1">
      <c r="A2741" s="351" t="s">
        <v>1366</v>
      </c>
      <c r="B2741" s="1179" t="s">
        <v>1600</v>
      </c>
      <c r="C2741" s="1180"/>
      <c r="D2741" s="1181"/>
      <c r="E2741" s="153">
        <v>13.2</v>
      </c>
      <c r="F2741" s="22" t="s">
        <v>8</v>
      </c>
      <c r="G2741" s="521"/>
      <c r="H2741" s="333"/>
      <c r="I2741" s="20">
        <v>1.05</v>
      </c>
      <c r="J2741" s="20"/>
      <c r="K2741" s="153">
        <f>+E2741*I2741</f>
        <v>13.86</v>
      </c>
      <c r="L2741" s="20" t="s">
        <v>8</v>
      </c>
      <c r="M2741" s="1146"/>
      <c r="N2741" s="55"/>
      <c r="O2741"/>
      <c r="P2741" s="159"/>
      <c r="Q2741" s="147"/>
      <c r="R2741" s="149"/>
    </row>
    <row r="2742" spans="1:24" ht="30" customHeight="1">
      <c r="A2742" s="651" t="s">
        <v>377</v>
      </c>
      <c r="B2742" s="1179" t="s">
        <v>1601</v>
      </c>
      <c r="C2742" s="1180"/>
      <c r="D2742" s="1180"/>
      <c r="E2742" s="153">
        <v>3.8</v>
      </c>
      <c r="F2742" s="22" t="s">
        <v>8</v>
      </c>
      <c r="G2742" s="521"/>
      <c r="H2742" s="333"/>
      <c r="I2742" s="20">
        <v>1.05</v>
      </c>
      <c r="J2742" s="20"/>
      <c r="K2742" s="153">
        <f>+E2742*I2742</f>
        <v>3.9899999999999998</v>
      </c>
      <c r="L2742" s="20" t="s">
        <v>8</v>
      </c>
      <c r="M2742" s="1146"/>
      <c r="N2742" s="55"/>
      <c r="O2742"/>
      <c r="P2742" s="159"/>
      <c r="Q2742" s="147"/>
      <c r="R2742" s="149"/>
    </row>
    <row r="2743" spans="1:24" ht="30" customHeight="1">
      <c r="A2743" s="647"/>
      <c r="B2743" s="1267"/>
      <c r="C2743" s="1267"/>
      <c r="D2743" s="1267"/>
      <c r="E2743" s="153"/>
      <c r="F2743" s="20"/>
      <c r="G2743" s="206"/>
      <c r="H2743" s="20"/>
      <c r="I2743" s="20"/>
      <c r="J2743" s="20" t="s">
        <v>346</v>
      </c>
      <c r="K2743" s="153">
        <f>SUM(K2740:K2742)</f>
        <v>105.0945</v>
      </c>
      <c r="L2743" s="20" t="s">
        <v>8</v>
      </c>
      <c r="M2743" s="1146"/>
      <c r="N2743" s="282"/>
      <c r="O2743" s="34"/>
      <c r="P2743" s="283"/>
      <c r="Q2743" s="282"/>
      <c r="R2743" s="284"/>
    </row>
    <row r="2744" spans="1:24" ht="30" customHeight="1">
      <c r="A2744" s="20"/>
      <c r="B2744" s="157"/>
      <c r="C2744" s="157"/>
      <c r="D2744" s="157"/>
      <c r="E2744" s="153"/>
      <c r="F2744" s="1174" t="s">
        <v>308</v>
      </c>
      <c r="G2744" s="1208" t="s">
        <v>309</v>
      </c>
      <c r="H2744" s="1208"/>
      <c r="I2744" s="1208"/>
      <c r="J2744" s="1208"/>
      <c r="K2744" s="123">
        <v>1.06</v>
      </c>
      <c r="L2744" s="10"/>
      <c r="M2744" s="1146"/>
      <c r="N2744" s="282"/>
      <c r="O2744" s="34"/>
      <c r="P2744" s="283"/>
      <c r="Q2744" s="282"/>
      <c r="R2744" s="284"/>
    </row>
    <row r="2745" spans="1:24" ht="30" customHeight="1">
      <c r="A2745" s="20"/>
      <c r="B2745" s="157"/>
      <c r="C2745" s="157"/>
      <c r="D2745" s="157"/>
      <c r="E2745" s="153"/>
      <c r="F2745" s="1175"/>
      <c r="G2745" s="1209" t="s">
        <v>310</v>
      </c>
      <c r="H2745" s="1209"/>
      <c r="I2745" s="1209"/>
      <c r="J2745" s="1209"/>
      <c r="K2745" s="123">
        <v>1.07</v>
      </c>
      <c r="L2745" s="10"/>
      <c r="M2745" s="1146"/>
      <c r="N2745" s="1103"/>
      <c r="O2745"/>
      <c r="P2745" s="159"/>
      <c r="Q2745" s="147"/>
      <c r="R2745" s="149"/>
    </row>
    <row r="2746" spans="1:24" ht="30" customHeight="1">
      <c r="A2746" s="20"/>
      <c r="B2746" s="20"/>
      <c r="C2746" s="18"/>
      <c r="D2746" s="18"/>
      <c r="E2746" s="18"/>
      <c r="F2746" s="18"/>
      <c r="G2746" s="18"/>
      <c r="H2746" s="18"/>
      <c r="I2746" s="18"/>
      <c r="J2746" s="20" t="s">
        <v>289</v>
      </c>
      <c r="K2746" s="23">
        <f>+K2743*K2744/K2745</f>
        <v>104.11230841121495</v>
      </c>
      <c r="L2746" s="20" t="s">
        <v>8</v>
      </c>
      <c r="M2746" s="1146"/>
      <c r="N2746" s="1103"/>
      <c r="O2746"/>
      <c r="P2746" s="159"/>
      <c r="Q2746" s="147"/>
      <c r="R2746" s="149"/>
    </row>
    <row r="2747" spans="1:24" ht="30" customHeight="1" thickBot="1">
      <c r="A2747" s="20"/>
      <c r="B2747" s="20"/>
      <c r="C2747" s="18"/>
      <c r="D2747" s="18"/>
      <c r="E2747" s="18"/>
      <c r="F2747" s="18"/>
      <c r="G2747" s="160" t="s">
        <v>312</v>
      </c>
      <c r="H2747" s="18"/>
      <c r="I2747" s="18"/>
      <c r="J2747" s="139">
        <f>VLOOKUP(B2738,'Mil Cost Premiums for RUCs'!$A$4:$R$266,18,FALSE)</f>
        <v>1.1838860786480316</v>
      </c>
      <c r="K2747" s="23">
        <f>+K2746*J2747</f>
        <v>123.25711254394776</v>
      </c>
      <c r="L2747" s="20" t="s">
        <v>8</v>
      </c>
      <c r="M2747" s="1146"/>
      <c r="N2747" s="1103"/>
      <c r="O2747"/>
      <c r="P2747" s="159"/>
      <c r="Q2747" s="147"/>
      <c r="R2747" s="149"/>
    </row>
    <row r="2748" spans="1:24" ht="30" customHeight="1" thickBot="1">
      <c r="A2748" s="1165"/>
      <c r="B2748" s="1166"/>
      <c r="C2748" s="1166"/>
      <c r="D2748" s="1166"/>
      <c r="E2748" s="1166"/>
      <c r="F2748" s="1166"/>
      <c r="G2748" s="1166"/>
      <c r="H2748" s="1166"/>
      <c r="I2748" s="1166"/>
      <c r="J2748" s="1166"/>
      <c r="K2748" s="1166"/>
      <c r="L2748" s="1167"/>
      <c r="M2748" s="1146"/>
      <c r="N2748" s="1103"/>
      <c r="O2748"/>
      <c r="P2748" s="159"/>
      <c r="Q2748" s="147"/>
      <c r="R2748" s="149"/>
      <c r="T2748" s="38"/>
      <c r="U2748" s="38"/>
      <c r="V2748" s="38"/>
      <c r="W2748" s="38"/>
      <c r="X2748" s="38"/>
    </row>
    <row r="2749" spans="1:24" s="38" customFormat="1" ht="30" customHeight="1">
      <c r="A2749" s="81" t="s">
        <v>280</v>
      </c>
      <c r="B2749" s="82">
        <v>7323</v>
      </c>
      <c r="C2749" s="1197" t="s">
        <v>1602</v>
      </c>
      <c r="D2749" s="1198"/>
      <c r="E2749" s="74" t="s">
        <v>282</v>
      </c>
      <c r="F2749" s="75" t="s">
        <v>8</v>
      </c>
      <c r="G2749" s="58" t="s">
        <v>290</v>
      </c>
      <c r="H2749" s="76">
        <v>2261</v>
      </c>
      <c r="I2749" s="74" t="s">
        <v>283</v>
      </c>
      <c r="J2749" s="1199" t="s">
        <v>2529</v>
      </c>
      <c r="K2749" s="1199"/>
      <c r="L2749" s="1200"/>
      <c r="M2749" s="1146"/>
      <c r="N2749" s="635"/>
      <c r="P2749" s="159"/>
      <c r="Q2749" s="147"/>
      <c r="R2749" s="149"/>
      <c r="T2749"/>
      <c r="U2749"/>
      <c r="V2749"/>
      <c r="W2749"/>
      <c r="X2749"/>
    </row>
    <row r="2750" spans="1:24" ht="30" customHeight="1">
      <c r="A2750" s="79" t="s">
        <v>304</v>
      </c>
      <c r="B2750" s="1201" t="s">
        <v>330</v>
      </c>
      <c r="C2750" s="1202"/>
      <c r="D2750" s="1203"/>
      <c r="E2750" s="150" t="s">
        <v>295</v>
      </c>
      <c r="F2750" s="150" t="s">
        <v>331</v>
      </c>
      <c r="G2750" s="1204" t="s">
        <v>332</v>
      </c>
      <c r="H2750" s="1205"/>
      <c r="I2750" s="77" t="s">
        <v>305</v>
      </c>
      <c r="J2750" s="77"/>
      <c r="K2750" s="1206" t="s">
        <v>297</v>
      </c>
      <c r="L2750" s="1207"/>
      <c r="M2750" s="1146"/>
      <c r="N2750" s="1103"/>
      <c r="O2750"/>
      <c r="P2750" s="159"/>
      <c r="Q2750" s="147"/>
      <c r="R2750" s="149"/>
    </row>
    <row r="2751" spans="1:24" ht="30" customHeight="1">
      <c r="A2751" s="351" t="s">
        <v>1603</v>
      </c>
      <c r="B2751" s="1267" t="s">
        <v>1604</v>
      </c>
      <c r="C2751" s="1267"/>
      <c r="D2751" s="1267"/>
      <c r="E2751" s="153">
        <v>9.92</v>
      </c>
      <c r="F2751" s="20" t="s">
        <v>8</v>
      </c>
      <c r="G2751" s="20"/>
      <c r="H2751" s="20"/>
      <c r="I2751" s="20">
        <v>1.08</v>
      </c>
      <c r="J2751" s="20"/>
      <c r="K2751" s="153">
        <f>+E2751*I2751</f>
        <v>10.713600000000001</v>
      </c>
      <c r="L2751" s="20" t="s">
        <v>8</v>
      </c>
      <c r="M2751" s="1146"/>
      <c r="N2751" s="635"/>
      <c r="O2751"/>
      <c r="P2751" s="159"/>
      <c r="Q2751" s="147"/>
      <c r="R2751" s="149"/>
    </row>
    <row r="2752" spans="1:24" ht="30" customHeight="1">
      <c r="A2752" s="351" t="s">
        <v>1605</v>
      </c>
      <c r="B2752" s="1179" t="s">
        <v>1606</v>
      </c>
      <c r="C2752" s="1180"/>
      <c r="D2752" s="1181"/>
      <c r="E2752" s="153">
        <f>(421+2090)/2</f>
        <v>1255.5</v>
      </c>
      <c r="F2752" s="634" t="s">
        <v>10</v>
      </c>
      <c r="G2752" s="211">
        <f>(E2752)/H2749</f>
        <v>0.55528527200353828</v>
      </c>
      <c r="H2752" s="20" t="s">
        <v>8</v>
      </c>
      <c r="I2752" s="20">
        <v>1.08</v>
      </c>
      <c r="J2752" s="20"/>
      <c r="K2752" s="153">
        <f>G2752*I2752</f>
        <v>0.59970809376382139</v>
      </c>
      <c r="L2752" s="20" t="s">
        <v>8</v>
      </c>
      <c r="M2752" s="1146"/>
      <c r="O2752"/>
      <c r="P2752" s="159"/>
      <c r="Q2752" s="147"/>
      <c r="R2752" s="149"/>
    </row>
    <row r="2753" spans="1:24" ht="30" customHeight="1">
      <c r="A2753" s="351" t="s">
        <v>1605</v>
      </c>
      <c r="B2753" s="1176" t="s">
        <v>1607</v>
      </c>
      <c r="C2753" s="1177"/>
      <c r="D2753" s="1178"/>
      <c r="E2753" s="153">
        <f>(735+1890)/2</f>
        <v>1312.5</v>
      </c>
      <c r="F2753" s="634" t="s">
        <v>10</v>
      </c>
      <c r="G2753" s="211">
        <f>(E2753)/H2749</f>
        <v>0.58049535603715174</v>
      </c>
      <c r="H2753" s="272" t="s">
        <v>8</v>
      </c>
      <c r="I2753" s="272">
        <v>1.08</v>
      </c>
      <c r="J2753" s="267"/>
      <c r="K2753" s="153">
        <f>G2753*I2753</f>
        <v>0.62693498452012397</v>
      </c>
      <c r="L2753" s="20" t="s">
        <v>8</v>
      </c>
      <c r="M2753" s="1146"/>
      <c r="N2753" s="1103"/>
      <c r="O2753"/>
      <c r="P2753" s="159"/>
      <c r="Q2753" s="147"/>
      <c r="R2753" s="149"/>
    </row>
    <row r="2754" spans="1:24" ht="30" customHeight="1">
      <c r="A2754" s="20"/>
      <c r="B2754" s="157"/>
      <c r="C2754" s="157"/>
      <c r="D2754" s="157"/>
      <c r="E2754" s="153"/>
      <c r="F2754" s="1174" t="s">
        <v>308</v>
      </c>
      <c r="G2754" s="1171" t="s">
        <v>309</v>
      </c>
      <c r="H2754" s="1172"/>
      <c r="I2754" s="1172"/>
      <c r="J2754" s="1173"/>
      <c r="K2754" s="123">
        <v>1.06</v>
      </c>
      <c r="L2754" s="10"/>
      <c r="M2754" s="1146"/>
      <c r="N2754" s="282"/>
      <c r="O2754" s="34"/>
      <c r="P2754" s="283"/>
      <c r="Q2754" s="282"/>
      <c r="R2754" s="284"/>
    </row>
    <row r="2755" spans="1:24" ht="30" customHeight="1">
      <c r="A2755" s="20"/>
      <c r="B2755" s="157"/>
      <c r="C2755" s="157"/>
      <c r="D2755" s="157"/>
      <c r="E2755" s="153"/>
      <c r="F2755" s="1175"/>
      <c r="G2755" s="1209" t="s">
        <v>310</v>
      </c>
      <c r="H2755" s="1209"/>
      <c r="I2755" s="1209"/>
      <c r="J2755" s="1209"/>
      <c r="K2755" s="123">
        <v>1.07</v>
      </c>
      <c r="L2755" s="10"/>
      <c r="M2755" s="1146"/>
      <c r="N2755" s="282"/>
      <c r="O2755" s="34"/>
      <c r="P2755" s="283"/>
      <c r="Q2755" s="282"/>
      <c r="R2755" s="284"/>
    </row>
    <row r="2756" spans="1:24" ht="30" customHeight="1">
      <c r="A2756" s="20"/>
      <c r="B2756" s="20"/>
      <c r="C2756" s="18"/>
      <c r="D2756" s="18"/>
      <c r="E2756" s="18"/>
      <c r="F2756" s="18"/>
      <c r="G2756" s="18"/>
      <c r="H2756" s="18"/>
      <c r="I2756" s="18"/>
      <c r="J2756" s="20" t="s">
        <v>289</v>
      </c>
      <c r="K2756" s="23">
        <f>+(K2751+K2752+K2753)*K2754/K2755</f>
        <v>11.828652021477556</v>
      </c>
      <c r="L2756" s="20" t="s">
        <v>8</v>
      </c>
      <c r="M2756" s="1146"/>
      <c r="N2756" s="1103"/>
      <c r="O2756"/>
      <c r="P2756" s="159"/>
      <c r="Q2756" s="147"/>
      <c r="R2756" s="149"/>
    </row>
    <row r="2757" spans="1:24" ht="30" customHeight="1" thickBot="1">
      <c r="A2757" s="20"/>
      <c r="B2757" s="20"/>
      <c r="C2757" s="18"/>
      <c r="D2757" s="18"/>
      <c r="E2757" s="18"/>
      <c r="F2757" s="18"/>
      <c r="G2757" s="160" t="s">
        <v>312</v>
      </c>
      <c r="H2757" s="18"/>
      <c r="I2757" s="18"/>
      <c r="J2757" s="139">
        <f>VLOOKUP(B2749,'Mil Cost Premiums for RUCs'!$A$4:$R$266,18,FALSE)</f>
        <v>1.0209999999999999</v>
      </c>
      <c r="K2757" s="23">
        <f>+K2756*J2757</f>
        <v>12.077053713928583</v>
      </c>
      <c r="L2757" s="20" t="s">
        <v>8</v>
      </c>
      <c r="M2757" s="1146"/>
      <c r="N2757" s="1103"/>
      <c r="O2757"/>
      <c r="P2757" s="159"/>
      <c r="Q2757" s="147"/>
      <c r="R2757" s="149"/>
    </row>
    <row r="2758" spans="1:24" ht="30" customHeight="1" thickBot="1">
      <c r="A2758" s="1165"/>
      <c r="B2758" s="1166"/>
      <c r="C2758" s="1166"/>
      <c r="D2758" s="1166"/>
      <c r="E2758" s="1166"/>
      <c r="F2758" s="1166"/>
      <c r="G2758" s="1166"/>
      <c r="H2758" s="1166"/>
      <c r="I2758" s="1166"/>
      <c r="J2758" s="1166"/>
      <c r="K2758" s="1166"/>
      <c r="L2758" s="1167"/>
      <c r="M2758" s="1146"/>
      <c r="N2758" s="1103"/>
      <c r="O2758"/>
      <c r="P2758" s="159"/>
      <c r="Q2758" s="147"/>
      <c r="R2758" s="149"/>
    </row>
    <row r="2759" spans="1:24" ht="30" customHeight="1">
      <c r="A2759" s="162" t="s">
        <v>280</v>
      </c>
      <c r="B2759" s="163">
        <v>7331</v>
      </c>
      <c r="C2759" s="1629" t="s">
        <v>1608</v>
      </c>
      <c r="D2759" s="1630"/>
      <c r="E2759" s="216" t="s">
        <v>282</v>
      </c>
      <c r="F2759" s="217" t="s">
        <v>8</v>
      </c>
      <c r="G2759" s="58" t="s">
        <v>290</v>
      </c>
      <c r="H2759" s="245">
        <v>4664</v>
      </c>
      <c r="I2759" s="216" t="s">
        <v>283</v>
      </c>
      <c r="J2759" s="1199" t="s">
        <v>2529</v>
      </c>
      <c r="K2759" s="1199"/>
      <c r="L2759" s="1200"/>
      <c r="M2759" s="1146"/>
      <c r="N2759" s="1103"/>
      <c r="O2759"/>
      <c r="P2759" s="159"/>
      <c r="Q2759" s="147"/>
      <c r="R2759" s="149"/>
      <c r="T2759" s="38"/>
      <c r="U2759" s="38"/>
      <c r="V2759" s="38"/>
      <c r="W2759" s="38"/>
      <c r="X2759" s="38"/>
    </row>
    <row r="2760" spans="1:24" s="38" customFormat="1" ht="30" customHeight="1">
      <c r="A2760" s="167" t="s">
        <v>304</v>
      </c>
      <c r="B2760" s="666" t="s">
        <v>330</v>
      </c>
      <c r="C2760" s="667"/>
      <c r="D2760" s="668"/>
      <c r="E2760" s="669" t="s">
        <v>295</v>
      </c>
      <c r="F2760" s="669" t="s">
        <v>331</v>
      </c>
      <c r="G2760" s="1246" t="s">
        <v>332</v>
      </c>
      <c r="H2760" s="1595"/>
      <c r="I2760" s="167" t="s">
        <v>305</v>
      </c>
      <c r="J2760" s="167"/>
      <c r="K2760" s="1206" t="s">
        <v>297</v>
      </c>
      <c r="L2760" s="1207"/>
      <c r="M2760" s="1146"/>
      <c r="N2760" s="1103"/>
      <c r="P2760" s="159"/>
      <c r="Q2760" s="147"/>
      <c r="R2760" s="149"/>
      <c r="T2760"/>
      <c r="U2760"/>
      <c r="V2760"/>
      <c r="W2760"/>
      <c r="X2760"/>
    </row>
    <row r="2761" spans="1:24" ht="30" customHeight="1">
      <c r="A2761" s="658" t="s">
        <v>1609</v>
      </c>
      <c r="B2761" s="1182" t="s">
        <v>1610</v>
      </c>
      <c r="C2761" s="1183"/>
      <c r="D2761" s="1184"/>
      <c r="E2761" s="115">
        <v>131.04</v>
      </c>
      <c r="F2761" s="5" t="s">
        <v>8</v>
      </c>
      <c r="G2761" s="296"/>
      <c r="H2761" s="297" t="s">
        <v>8</v>
      </c>
      <c r="I2761" s="10">
        <v>1.05</v>
      </c>
      <c r="J2761" s="10"/>
      <c r="K2761" s="115">
        <f>+E2761*I2761</f>
        <v>137.59199999999998</v>
      </c>
      <c r="L2761" s="10" t="s">
        <v>8</v>
      </c>
      <c r="M2761" s="1146"/>
      <c r="O2761"/>
      <c r="P2761" s="159"/>
      <c r="Q2761" s="147"/>
      <c r="R2761" s="149"/>
    </row>
    <row r="2762" spans="1:24" ht="30" customHeight="1">
      <c r="A2762" s="658" t="s">
        <v>1611</v>
      </c>
      <c r="B2762" s="1182" t="s">
        <v>1612</v>
      </c>
      <c r="C2762" s="1183"/>
      <c r="D2762" s="1184"/>
      <c r="E2762" s="115">
        <v>770</v>
      </c>
      <c r="F2762" s="5" t="s">
        <v>6</v>
      </c>
      <c r="G2762" s="670">
        <f>(4*10*E2762)/H2759</f>
        <v>6.6037735849056602</v>
      </c>
      <c r="H2762" s="297" t="s">
        <v>1011</v>
      </c>
      <c r="I2762" s="10">
        <v>1.04</v>
      </c>
      <c r="J2762" s="10"/>
      <c r="K2762" s="115">
        <f>+G2762*I2762</f>
        <v>6.867924528301887</v>
      </c>
      <c r="L2762" s="10" t="s">
        <v>8</v>
      </c>
      <c r="M2762" s="1146"/>
      <c r="O2762"/>
      <c r="P2762" s="159"/>
      <c r="Q2762" s="147"/>
      <c r="R2762" s="149"/>
    </row>
    <row r="2763" spans="1:24" ht="30" customHeight="1">
      <c r="A2763" s="658" t="s">
        <v>983</v>
      </c>
      <c r="B2763" s="1162" t="s">
        <v>1613</v>
      </c>
      <c r="C2763" s="1163"/>
      <c r="D2763" s="1164"/>
      <c r="E2763" s="115">
        <v>705</v>
      </c>
      <c r="F2763" s="5" t="s">
        <v>10</v>
      </c>
      <c r="G2763" s="661">
        <f>4*2*E2763/H2759</f>
        <v>1.2092624356775301</v>
      </c>
      <c r="H2763" s="297" t="s">
        <v>1011</v>
      </c>
      <c r="I2763" s="10">
        <v>1.08</v>
      </c>
      <c r="J2763" s="10"/>
      <c r="K2763" s="115">
        <f>+G2763*I2763</f>
        <v>1.3060034305317325</v>
      </c>
      <c r="L2763" s="10" t="s">
        <v>8</v>
      </c>
      <c r="M2763" s="1146"/>
      <c r="N2763" s="1103"/>
      <c r="O2763"/>
      <c r="P2763" s="159"/>
      <c r="Q2763" s="147"/>
      <c r="R2763" s="149"/>
    </row>
    <row r="2764" spans="1:24" ht="30" customHeight="1">
      <c r="A2764" s="658" t="s">
        <v>1416</v>
      </c>
      <c r="B2764" s="1182" t="s">
        <v>1110</v>
      </c>
      <c r="C2764" s="1183"/>
      <c r="D2764" s="1184"/>
      <c r="E2764" s="115">
        <v>3.74</v>
      </c>
      <c r="F2764" s="5" t="s">
        <v>8</v>
      </c>
      <c r="G2764" s="296"/>
      <c r="H2764" s="297" t="s">
        <v>8</v>
      </c>
      <c r="I2764" s="10">
        <v>1.05</v>
      </c>
      <c r="J2764" s="10"/>
      <c r="K2764" s="115">
        <f>+E2764*I2764</f>
        <v>3.9270000000000005</v>
      </c>
      <c r="L2764" s="10" t="s">
        <v>8</v>
      </c>
      <c r="M2764" s="1146"/>
      <c r="N2764" s="282"/>
      <c r="O2764" s="34"/>
      <c r="P2764" s="283"/>
      <c r="Q2764" s="282"/>
      <c r="R2764" s="284"/>
    </row>
    <row r="2765" spans="1:24" ht="30" customHeight="1">
      <c r="A2765" s="649"/>
      <c r="B2765" s="222"/>
      <c r="C2765" s="222"/>
      <c r="D2765" s="222"/>
      <c r="E2765" s="115"/>
      <c r="F2765" s="10"/>
      <c r="G2765" s="494"/>
      <c r="H2765" s="10"/>
      <c r="I2765" s="10"/>
      <c r="J2765" s="10" t="s">
        <v>346</v>
      </c>
      <c r="K2765" s="115">
        <f>SUM(K2761:K2764)</f>
        <v>149.69292795883362</v>
      </c>
      <c r="L2765" s="10" t="s">
        <v>8</v>
      </c>
      <c r="M2765" s="1146"/>
      <c r="N2765" s="282"/>
      <c r="O2765" s="34"/>
      <c r="P2765" s="283"/>
      <c r="Q2765" s="282"/>
      <c r="R2765" s="284"/>
    </row>
    <row r="2766" spans="1:24" ht="30" customHeight="1">
      <c r="A2766" s="20"/>
      <c r="B2766" s="157"/>
      <c r="C2766" s="157"/>
      <c r="D2766" s="157"/>
      <c r="E2766" s="153"/>
      <c r="F2766" s="1174" t="s">
        <v>308</v>
      </c>
      <c r="G2766" s="1208" t="s">
        <v>309</v>
      </c>
      <c r="H2766" s="1208"/>
      <c r="I2766" s="1208"/>
      <c r="J2766" s="1208"/>
      <c r="K2766" s="123">
        <v>1.06</v>
      </c>
      <c r="L2766" s="10"/>
      <c r="M2766" s="1146"/>
      <c r="N2766" s="1103"/>
      <c r="O2766"/>
      <c r="P2766" s="159"/>
      <c r="Q2766" s="147"/>
      <c r="R2766" s="149"/>
      <c r="T2766" s="44"/>
      <c r="U2766" s="34"/>
    </row>
    <row r="2767" spans="1:24" ht="30" customHeight="1">
      <c r="A2767" s="20"/>
      <c r="B2767" s="157"/>
      <c r="C2767" s="157"/>
      <c r="D2767" s="157"/>
      <c r="E2767" s="153"/>
      <c r="F2767" s="1175"/>
      <c r="G2767" s="1209" t="s">
        <v>310</v>
      </c>
      <c r="H2767" s="1209"/>
      <c r="I2767" s="1209"/>
      <c r="J2767" s="1209"/>
      <c r="K2767" s="123">
        <v>1.07</v>
      </c>
      <c r="L2767" s="10"/>
      <c r="M2767" s="1146"/>
      <c r="N2767" s="1103"/>
      <c r="P2767" s="34"/>
      <c r="Q2767" s="34"/>
      <c r="R2767" s="34"/>
      <c r="S2767" s="44"/>
      <c r="T2767" s="44"/>
      <c r="U2767" s="34"/>
    </row>
    <row r="2768" spans="1:24" ht="30" customHeight="1">
      <c r="A2768" s="1571" t="s">
        <v>1614</v>
      </c>
      <c r="B2768" s="1572"/>
      <c r="C2768" s="1572"/>
      <c r="D2768" s="1572"/>
      <c r="E2768" s="1572"/>
      <c r="F2768" s="1572"/>
      <c r="G2768" s="1572"/>
      <c r="H2768" s="1573"/>
      <c r="I2768" s="13"/>
      <c r="J2768" s="10" t="s">
        <v>289</v>
      </c>
      <c r="K2768" s="14">
        <f>+K2765*K2766/K2767</f>
        <v>148.29392863211555</v>
      </c>
      <c r="L2768" s="10" t="s">
        <v>8</v>
      </c>
      <c r="M2768" s="1146"/>
      <c r="N2768" s="1103"/>
      <c r="P2768" s="34"/>
      <c r="Q2768" s="34"/>
      <c r="R2768" s="34"/>
      <c r="S2768" s="44"/>
      <c r="T2768" s="32"/>
      <c r="U2768" s="32"/>
      <c r="V2768" s="32"/>
      <c r="W2768" s="32"/>
      <c r="X2768" s="32"/>
    </row>
    <row r="2769" spans="1:24" s="32" customFormat="1" ht="30" customHeight="1">
      <c r="A2769" s="671"/>
      <c r="B2769" s="671"/>
      <c r="C2769" s="671"/>
      <c r="D2769" s="671"/>
      <c r="E2769" s="671"/>
      <c r="F2769" s="671"/>
      <c r="G2769" s="226"/>
      <c r="H2769" s="671"/>
      <c r="I2769" s="461" t="s">
        <v>385</v>
      </c>
      <c r="J2769" s="139">
        <f>VLOOKUP(B2759,'Mil Cost Premiums for RUCs'!$A$4:$R$266,18,FALSE)</f>
        <v>1.290538574246207</v>
      </c>
      <c r="K2769" s="14">
        <f>+K2768*J2769</f>
        <v>191.37903522625919</v>
      </c>
      <c r="L2769" s="10" t="s">
        <v>8</v>
      </c>
      <c r="M2769" s="1146"/>
      <c r="N2769" s="124"/>
      <c r="O2769" s="33"/>
      <c r="T2769" s="38"/>
      <c r="U2769" s="38"/>
      <c r="V2769" s="38"/>
      <c r="W2769" s="38"/>
      <c r="X2769" s="38"/>
    </row>
    <row r="2770" spans="1:24" s="38" customFormat="1" ht="60" customHeight="1">
      <c r="A2770" s="1336" t="s">
        <v>313</v>
      </c>
      <c r="B2770" s="1315"/>
      <c r="C2770" s="1315"/>
      <c r="D2770" s="1315"/>
      <c r="E2770" s="1315"/>
      <c r="F2770" s="1315"/>
      <c r="G2770" s="1315"/>
      <c r="H2770" s="1315"/>
      <c r="I2770" s="1315"/>
      <c r="J2770" s="1315"/>
      <c r="K2770" s="1315"/>
      <c r="L2770" s="1316"/>
      <c r="M2770" s="1146"/>
      <c r="N2770" s="193"/>
      <c r="O2770" s="1119"/>
      <c r="T2770" s="44"/>
      <c r="U2770"/>
      <c r="V2770"/>
      <c r="W2770"/>
      <c r="X2770"/>
    </row>
    <row r="2771" spans="1:24" ht="60" customHeight="1">
      <c r="A2771" s="1406" t="s">
        <v>314</v>
      </c>
      <c r="B2771" s="1407"/>
      <c r="C2771" s="1408"/>
      <c r="D2771" s="1270" t="s">
        <v>1615</v>
      </c>
      <c r="E2771" s="1371"/>
      <c r="F2771" s="1371"/>
      <c r="G2771" s="1371"/>
      <c r="H2771" s="1371"/>
      <c r="I2771" s="1371"/>
      <c r="J2771" s="1371"/>
      <c r="K2771" s="1371"/>
      <c r="L2771" s="1372"/>
      <c r="M2771" s="1146"/>
      <c r="N2771" s="125"/>
      <c r="P2771" s="34"/>
      <c r="Q2771" s="34"/>
      <c r="R2771" s="34"/>
      <c r="S2771" s="44"/>
      <c r="T2771" s="44"/>
      <c r="U2771" s="34"/>
    </row>
    <row r="2772" spans="1:24" ht="30" customHeight="1">
      <c r="A2772" s="1406" t="s">
        <v>316</v>
      </c>
      <c r="B2772" s="1407"/>
      <c r="C2772" s="1408"/>
      <c r="D2772" s="1270" t="s">
        <v>1616</v>
      </c>
      <c r="E2772" s="1371"/>
      <c r="F2772" s="1371"/>
      <c r="G2772" s="1371"/>
      <c r="H2772" s="1371"/>
      <c r="I2772" s="1371"/>
      <c r="J2772" s="1371"/>
      <c r="K2772" s="1371"/>
      <c r="L2772" s="1372"/>
      <c r="M2772" s="1146"/>
      <c r="N2772" s="39"/>
      <c r="P2772" s="34"/>
      <c r="Q2772" s="34"/>
      <c r="R2772" s="34"/>
      <c r="S2772" s="44"/>
      <c r="T2772" s="44"/>
      <c r="U2772" s="34"/>
    </row>
    <row r="2773" spans="1:24" ht="30" customHeight="1">
      <c r="A2773" s="1406" t="s">
        <v>317</v>
      </c>
      <c r="B2773" s="1407"/>
      <c r="C2773" s="1408"/>
      <c r="D2773" s="1270" t="s">
        <v>1617</v>
      </c>
      <c r="E2773" s="1371"/>
      <c r="F2773" s="1371"/>
      <c r="G2773" s="1371"/>
      <c r="H2773" s="1371"/>
      <c r="I2773" s="1371"/>
      <c r="J2773" s="1371"/>
      <c r="K2773" s="1371"/>
      <c r="L2773" s="1372"/>
      <c r="M2773" s="1146"/>
      <c r="P2773" s="34"/>
      <c r="Q2773" s="34"/>
      <c r="R2773" s="34"/>
      <c r="S2773" s="44"/>
      <c r="T2773" s="32"/>
      <c r="U2773" s="32"/>
      <c r="V2773" s="32"/>
      <c r="W2773" s="32"/>
      <c r="X2773" s="32"/>
    </row>
    <row r="2774" spans="1:24" s="32" customFormat="1" ht="60" customHeight="1">
      <c r="A2774" s="1406" t="s">
        <v>318</v>
      </c>
      <c r="B2774" s="1407"/>
      <c r="C2774" s="1408"/>
      <c r="D2774" s="1270" t="s">
        <v>1618</v>
      </c>
      <c r="E2774" s="1371"/>
      <c r="F2774" s="1371"/>
      <c r="G2774" s="1371"/>
      <c r="H2774" s="1371"/>
      <c r="I2774" s="1371"/>
      <c r="J2774" s="1371"/>
      <c r="K2774" s="1371"/>
      <c r="L2774" s="1372"/>
      <c r="M2774" s="1146"/>
      <c r="N2774" s="124"/>
      <c r="O2774" s="33"/>
      <c r="T2774" s="38"/>
      <c r="U2774" s="38"/>
      <c r="V2774" s="38"/>
      <c r="W2774" s="38"/>
      <c r="X2774" s="38"/>
    </row>
    <row r="2775" spans="1:24" s="38" customFormat="1" ht="30" customHeight="1">
      <c r="A2775" s="1406" t="s">
        <v>320</v>
      </c>
      <c r="B2775" s="1407"/>
      <c r="C2775" s="1408"/>
      <c r="D2775" s="1270" t="s">
        <v>1619</v>
      </c>
      <c r="E2775" s="1371"/>
      <c r="F2775" s="1371"/>
      <c r="G2775" s="1371"/>
      <c r="H2775" s="1371"/>
      <c r="I2775" s="1371"/>
      <c r="J2775" s="1371"/>
      <c r="K2775" s="1371"/>
      <c r="L2775" s="1372"/>
      <c r="M2775" s="1146"/>
      <c r="N2775" s="85"/>
      <c r="O2775" s="1119"/>
      <c r="T2775"/>
      <c r="U2775"/>
      <c r="V2775"/>
      <c r="W2775"/>
      <c r="X2775"/>
    </row>
    <row r="2776" spans="1:24" ht="30" customHeight="1">
      <c r="A2776" s="1406" t="s">
        <v>322</v>
      </c>
      <c r="B2776" s="1407"/>
      <c r="C2776" s="1408"/>
      <c r="D2776" s="1270" t="s">
        <v>1539</v>
      </c>
      <c r="E2776" s="1371"/>
      <c r="F2776" s="1371"/>
      <c r="G2776" s="1371"/>
      <c r="H2776" s="1371"/>
      <c r="I2776" s="1371"/>
      <c r="J2776" s="1371"/>
      <c r="K2776" s="1371"/>
      <c r="L2776" s="1372"/>
      <c r="M2776" s="1146"/>
      <c r="N2776" s="125"/>
      <c r="T2776" s="44"/>
      <c r="U2776" s="34"/>
    </row>
    <row r="2777" spans="1:24" ht="30" customHeight="1">
      <c r="A2777" s="1406" t="s">
        <v>324</v>
      </c>
      <c r="B2777" s="1407"/>
      <c r="C2777" s="1408"/>
      <c r="D2777" s="1270" t="s">
        <v>1620</v>
      </c>
      <c r="E2777" s="1371"/>
      <c r="F2777" s="1371"/>
      <c r="G2777" s="1371"/>
      <c r="H2777" s="1371"/>
      <c r="I2777" s="1371"/>
      <c r="J2777" s="1371"/>
      <c r="K2777" s="1371"/>
      <c r="L2777" s="1372"/>
      <c r="M2777" s="1146"/>
      <c r="N2777" s="39"/>
      <c r="P2777" s="34"/>
      <c r="Q2777" s="34"/>
      <c r="R2777" s="34"/>
      <c r="S2777" s="44"/>
      <c r="T2777" s="44"/>
      <c r="U2777" s="34"/>
    </row>
    <row r="2778" spans="1:24" ht="75" customHeight="1">
      <c r="A2778" s="1406" t="s">
        <v>325</v>
      </c>
      <c r="B2778" s="1407"/>
      <c r="C2778" s="1408"/>
      <c r="D2778" s="1270" t="s">
        <v>391</v>
      </c>
      <c r="E2778" s="1371"/>
      <c r="F2778" s="1371"/>
      <c r="G2778" s="1371"/>
      <c r="H2778" s="1371"/>
      <c r="I2778" s="1371"/>
      <c r="J2778" s="1371"/>
      <c r="K2778" s="1371"/>
      <c r="L2778" s="1372"/>
      <c r="M2778" s="1146"/>
      <c r="P2778" s="34"/>
      <c r="Q2778" s="34"/>
      <c r="R2778" s="34"/>
      <c r="S2778" s="44"/>
      <c r="T2778" s="32"/>
      <c r="U2778" s="32"/>
      <c r="V2778" s="32"/>
      <c r="W2778" s="32"/>
      <c r="X2778" s="32"/>
    </row>
    <row r="2779" spans="1:24" s="32" customFormat="1" ht="45" customHeight="1" thickBot="1">
      <c r="A2779" s="1406" t="s">
        <v>327</v>
      </c>
      <c r="B2779" s="1407"/>
      <c r="C2779" s="1408"/>
      <c r="D2779" s="1270" t="s">
        <v>1621</v>
      </c>
      <c r="E2779" s="1371"/>
      <c r="F2779" s="1371"/>
      <c r="G2779" s="1371"/>
      <c r="H2779" s="1371"/>
      <c r="I2779" s="1371"/>
      <c r="J2779" s="1371"/>
      <c r="K2779" s="1371"/>
      <c r="L2779" s="1372"/>
      <c r="M2779" s="1146"/>
      <c r="N2779" s="25"/>
      <c r="O2779" s="33"/>
      <c r="T2779" s="38"/>
      <c r="U2779" s="38"/>
      <c r="V2779" s="38"/>
      <c r="W2779" s="38"/>
      <c r="X2779" s="38"/>
    </row>
    <row r="2780" spans="1:24" s="38" customFormat="1" ht="30" customHeight="1" thickBot="1">
      <c r="A2780" s="1165"/>
      <c r="B2780" s="1166"/>
      <c r="C2780" s="1166"/>
      <c r="D2780" s="1166"/>
      <c r="E2780" s="1166"/>
      <c r="F2780" s="1166"/>
      <c r="G2780" s="1166"/>
      <c r="H2780" s="1166"/>
      <c r="I2780" s="1166"/>
      <c r="J2780" s="1166"/>
      <c r="K2780" s="1166"/>
      <c r="L2780" s="1167"/>
      <c r="M2780" s="1146"/>
      <c r="N2780" s="193"/>
      <c r="O2780" s="1119"/>
      <c r="T2780"/>
      <c r="U2780"/>
      <c r="V2780"/>
      <c r="W2780"/>
      <c r="X2780"/>
    </row>
    <row r="2781" spans="1:24" ht="30" customHeight="1">
      <c r="A2781" s="162" t="s">
        <v>280</v>
      </c>
      <c r="B2781" s="163">
        <v>7333</v>
      </c>
      <c r="C2781" s="1290" t="s">
        <v>1622</v>
      </c>
      <c r="D2781" s="1291"/>
      <c r="E2781" s="216" t="s">
        <v>282</v>
      </c>
      <c r="F2781" s="217" t="s">
        <v>8</v>
      </c>
      <c r="G2781" s="58" t="s">
        <v>290</v>
      </c>
      <c r="H2781" s="245">
        <v>16637</v>
      </c>
      <c r="I2781" s="216" t="s">
        <v>283</v>
      </c>
      <c r="J2781" s="1199" t="s">
        <v>2529</v>
      </c>
      <c r="K2781" s="1199"/>
      <c r="L2781" s="1200"/>
      <c r="M2781" s="1146"/>
      <c r="N2781" s="125"/>
      <c r="T2781" s="44"/>
      <c r="U2781" s="34"/>
    </row>
    <row r="2782" spans="1:24" ht="30" customHeight="1">
      <c r="A2782" s="167" t="s">
        <v>304</v>
      </c>
      <c r="B2782" s="666" t="s">
        <v>330</v>
      </c>
      <c r="C2782" s="667"/>
      <c r="D2782" s="668"/>
      <c r="E2782" s="669" t="s">
        <v>295</v>
      </c>
      <c r="F2782" s="669" t="s">
        <v>331</v>
      </c>
      <c r="G2782" s="1246" t="s">
        <v>332</v>
      </c>
      <c r="H2782" s="1595"/>
      <c r="I2782" s="167" t="s">
        <v>305</v>
      </c>
      <c r="J2782" s="167"/>
      <c r="K2782" s="1206" t="s">
        <v>297</v>
      </c>
      <c r="L2782" s="1207"/>
      <c r="M2782" s="1146"/>
      <c r="P2782" s="34"/>
      <c r="Q2782" s="34"/>
      <c r="R2782" s="34"/>
      <c r="S2782" s="44"/>
      <c r="T2782" s="44"/>
      <c r="U2782" s="34"/>
    </row>
    <row r="2783" spans="1:24" ht="30" customHeight="1">
      <c r="A2783" s="658" t="s">
        <v>1623</v>
      </c>
      <c r="B2783" s="1182" t="s">
        <v>1624</v>
      </c>
      <c r="C2783" s="1183"/>
      <c r="D2783" s="1184"/>
      <c r="E2783" s="115">
        <v>122.51</v>
      </c>
      <c r="F2783" s="5" t="s">
        <v>8</v>
      </c>
      <c r="G2783" s="296"/>
      <c r="H2783" s="297" t="s">
        <v>8</v>
      </c>
      <c r="I2783" s="10">
        <v>1.05</v>
      </c>
      <c r="J2783" s="10"/>
      <c r="K2783" s="115">
        <f>+E2783*I2783</f>
        <v>128.63550000000001</v>
      </c>
      <c r="L2783" s="10" t="s">
        <v>8</v>
      </c>
      <c r="M2783" s="1146"/>
      <c r="P2783" s="34"/>
      <c r="Q2783" s="34"/>
      <c r="R2783" s="34"/>
      <c r="S2783" s="44"/>
      <c r="T2783" s="32"/>
      <c r="U2783" s="32"/>
      <c r="V2783" s="32"/>
      <c r="W2783" s="32"/>
      <c r="X2783" s="32"/>
    </row>
    <row r="2784" spans="1:24" s="32" customFormat="1" ht="30" customHeight="1">
      <c r="A2784" s="658" t="s">
        <v>1611</v>
      </c>
      <c r="B2784" s="1182" t="s">
        <v>1625</v>
      </c>
      <c r="C2784" s="1183"/>
      <c r="D2784" s="1184"/>
      <c r="E2784" s="115">
        <v>770</v>
      </c>
      <c r="F2784" s="5" t="s">
        <v>6</v>
      </c>
      <c r="G2784" s="670">
        <f>(2*10*E2784)/H2781</f>
        <v>0.92564765282202321</v>
      </c>
      <c r="H2784" s="297" t="s">
        <v>1011</v>
      </c>
      <c r="I2784" s="10">
        <v>1.04</v>
      </c>
      <c r="J2784" s="10"/>
      <c r="K2784" s="115">
        <f>+G2784*I2784</f>
        <v>0.96267355893490414</v>
      </c>
      <c r="L2784" s="10" t="s">
        <v>8</v>
      </c>
      <c r="M2784" s="1146"/>
      <c r="N2784" s="25"/>
      <c r="O2784" s="33"/>
      <c r="T2784" s="38"/>
      <c r="U2784" s="38"/>
      <c r="V2784" s="38"/>
      <c r="W2784" s="38"/>
      <c r="X2784" s="38"/>
    </row>
    <row r="2785" spans="1:24" s="38" customFormat="1" ht="30" customHeight="1">
      <c r="A2785" s="658" t="s">
        <v>983</v>
      </c>
      <c r="B2785" s="1162" t="s">
        <v>1626</v>
      </c>
      <c r="C2785" s="1163"/>
      <c r="D2785" s="1164"/>
      <c r="E2785" s="115">
        <v>705</v>
      </c>
      <c r="F2785" s="5" t="s">
        <v>10</v>
      </c>
      <c r="G2785" s="672">
        <f>4*E2785/H2781</f>
        <v>0.16950171304922762</v>
      </c>
      <c r="H2785" s="297" t="s">
        <v>1011</v>
      </c>
      <c r="I2785" s="10">
        <v>1.08</v>
      </c>
      <c r="J2785" s="10"/>
      <c r="K2785" s="115">
        <f>+G2785*I2785</f>
        <v>0.18306185009316583</v>
      </c>
      <c r="L2785" s="10" t="s">
        <v>8</v>
      </c>
      <c r="M2785" s="1146"/>
      <c r="N2785" s="193"/>
      <c r="O2785" s="1119"/>
      <c r="T2785"/>
      <c r="U2785"/>
      <c r="V2785"/>
      <c r="W2785"/>
      <c r="X2785"/>
    </row>
    <row r="2786" spans="1:24" ht="30" customHeight="1">
      <c r="A2786" s="658" t="s">
        <v>1627</v>
      </c>
      <c r="B2786" s="1182" t="s">
        <v>1628</v>
      </c>
      <c r="C2786" s="1183"/>
      <c r="D2786" s="1184"/>
      <c r="E2786" s="115">
        <v>50250</v>
      </c>
      <c r="F2786" s="5" t="s">
        <v>10</v>
      </c>
      <c r="G2786" s="672">
        <f>+E2786/H2781</f>
        <v>3.020376269760173</v>
      </c>
      <c r="H2786" s="297" t="s">
        <v>1011</v>
      </c>
      <c r="I2786" s="10">
        <v>1.05</v>
      </c>
      <c r="J2786" s="10"/>
      <c r="K2786" s="115">
        <f>+G2786*I2786</f>
        <v>3.1713950832481816</v>
      </c>
      <c r="L2786" s="10" t="s">
        <v>8</v>
      </c>
      <c r="M2786" s="1146"/>
      <c r="N2786" s="125"/>
      <c r="T2786" s="44"/>
      <c r="U2786" s="34"/>
    </row>
    <row r="2787" spans="1:24" ht="30" customHeight="1">
      <c r="A2787" s="658" t="s">
        <v>1627</v>
      </c>
      <c r="B2787" s="1182" t="s">
        <v>1629</v>
      </c>
      <c r="C2787" s="1183"/>
      <c r="D2787" s="1184"/>
      <c r="E2787" s="115">
        <v>43300</v>
      </c>
      <c r="F2787" s="5" t="s">
        <v>10</v>
      </c>
      <c r="G2787" s="672">
        <f>+E2787/H2781</f>
        <v>2.6026326861814031</v>
      </c>
      <c r="H2787" s="297" t="s">
        <v>1011</v>
      </c>
      <c r="I2787" s="10">
        <v>1.05</v>
      </c>
      <c r="J2787" s="10"/>
      <c r="K2787" s="115">
        <f>+G2787*I2787</f>
        <v>2.7327643204904732</v>
      </c>
      <c r="L2787" s="10" t="s">
        <v>8</v>
      </c>
      <c r="M2787" s="1146"/>
      <c r="N2787" s="635"/>
      <c r="P2787" s="34"/>
      <c r="Q2787" s="34"/>
      <c r="R2787" s="34"/>
      <c r="S2787" s="44"/>
      <c r="T2787" s="44"/>
      <c r="U2787" s="34"/>
    </row>
    <row r="2788" spans="1:24" ht="30" customHeight="1">
      <c r="A2788" s="658" t="s">
        <v>1416</v>
      </c>
      <c r="B2788" s="1182" t="s">
        <v>419</v>
      </c>
      <c r="C2788" s="1183"/>
      <c r="D2788" s="1184"/>
      <c r="E2788" s="115">
        <v>3.13</v>
      </c>
      <c r="F2788" s="5" t="s">
        <v>8</v>
      </c>
      <c r="G2788" s="673">
        <v>1</v>
      </c>
      <c r="H2788" s="297" t="s">
        <v>8</v>
      </c>
      <c r="I2788" s="10">
        <v>1.05</v>
      </c>
      <c r="J2788" s="10"/>
      <c r="K2788" s="115">
        <f>+E2788*I2788</f>
        <v>3.2865000000000002</v>
      </c>
      <c r="L2788" s="10" t="s">
        <v>8</v>
      </c>
      <c r="M2788" s="1146"/>
      <c r="P2788" s="34"/>
      <c r="Q2788" s="34"/>
      <c r="R2788" s="34"/>
      <c r="S2788" s="44"/>
      <c r="T2788" s="32"/>
      <c r="U2788" s="32"/>
      <c r="V2788" s="32"/>
      <c r="W2788" s="32"/>
      <c r="X2788" s="32"/>
    </row>
    <row r="2789" spans="1:24" s="32" customFormat="1" ht="30" customHeight="1">
      <c r="A2789" s="658" t="s">
        <v>395</v>
      </c>
      <c r="B2789" s="1182" t="s">
        <v>1630</v>
      </c>
      <c r="C2789" s="1183"/>
      <c r="D2789" s="1184"/>
      <c r="E2789" s="115">
        <f>(19.15+29.75)/2</f>
        <v>24.45</v>
      </c>
      <c r="F2789" s="5" t="s">
        <v>1573</v>
      </c>
      <c r="G2789" s="672">
        <f>81*23.88/H2781</f>
        <v>0.11626374947406383</v>
      </c>
      <c r="H2789" s="297" t="s">
        <v>1011</v>
      </c>
      <c r="I2789" s="10">
        <v>1.06</v>
      </c>
      <c r="J2789" s="10"/>
      <c r="K2789" s="115">
        <f t="shared" ref="K2789:K2794" si="56">+G2789*I2789</f>
        <v>0.12323957444250766</v>
      </c>
      <c r="L2789" s="10" t="s">
        <v>8</v>
      </c>
      <c r="M2789" s="1146"/>
      <c r="N2789" s="25"/>
      <c r="O2789" s="33"/>
      <c r="T2789" s="38"/>
      <c r="U2789" s="38"/>
      <c r="V2789" s="38"/>
      <c r="W2789" s="38"/>
      <c r="X2789" s="38"/>
    </row>
    <row r="2790" spans="1:24" s="38" customFormat="1" ht="30" customHeight="1">
      <c r="A2790" s="658" t="s">
        <v>395</v>
      </c>
      <c r="B2790" s="1182" t="s">
        <v>2901</v>
      </c>
      <c r="C2790" s="1183"/>
      <c r="D2790" s="1184"/>
      <c r="E2790" s="115">
        <f>(1610+2280)/2</f>
        <v>1945</v>
      </c>
      <c r="F2790" s="5" t="s">
        <v>10</v>
      </c>
      <c r="G2790" s="672">
        <f>+E2790/H2781</f>
        <v>0.11690809641161266</v>
      </c>
      <c r="H2790" s="297" t="s">
        <v>1011</v>
      </c>
      <c r="I2790" s="10">
        <v>1.06</v>
      </c>
      <c r="J2790" s="10"/>
      <c r="K2790" s="115">
        <f t="shared" si="56"/>
        <v>0.12392258219630943</v>
      </c>
      <c r="L2790" s="10" t="s">
        <v>8</v>
      </c>
      <c r="M2790" s="1146"/>
      <c r="N2790" s="193"/>
      <c r="O2790" s="1119"/>
      <c r="T2790"/>
      <c r="U2790"/>
      <c r="V2790"/>
      <c r="W2790"/>
      <c r="X2790"/>
    </row>
    <row r="2791" spans="1:24" ht="30" customHeight="1">
      <c r="A2791" s="658" t="s">
        <v>398</v>
      </c>
      <c r="B2791" s="1182" t="s">
        <v>1631</v>
      </c>
      <c r="C2791" s="1183"/>
      <c r="D2791" s="1184"/>
      <c r="E2791" s="115">
        <f>(31.5+75)/2</f>
        <v>53.25</v>
      </c>
      <c r="F2791" s="5" t="s">
        <v>6</v>
      </c>
      <c r="G2791" s="672">
        <f>+E2791*10/H2781</f>
        <v>3.2006972410891385E-2</v>
      </c>
      <c r="H2791" s="297" t="s">
        <v>1011</v>
      </c>
      <c r="I2791" s="10">
        <v>1.04</v>
      </c>
      <c r="J2791" s="10"/>
      <c r="K2791" s="115">
        <f t="shared" si="56"/>
        <v>3.3287251307327043E-2</v>
      </c>
      <c r="L2791" s="10" t="s">
        <v>8</v>
      </c>
      <c r="M2791" s="1146"/>
      <c r="N2791" s="125"/>
      <c r="T2791" s="44"/>
      <c r="U2791" s="34"/>
    </row>
    <row r="2792" spans="1:24" ht="30" customHeight="1">
      <c r="A2792" s="658" t="s">
        <v>398</v>
      </c>
      <c r="B2792" s="1182" t="s">
        <v>1577</v>
      </c>
      <c r="C2792" s="1183"/>
      <c r="D2792" s="1184"/>
      <c r="E2792" s="115">
        <f>(5900+11300)/2</f>
        <v>8600</v>
      </c>
      <c r="F2792" s="5" t="s">
        <v>10</v>
      </c>
      <c r="G2792" s="672">
        <f>+E2792/H2781</f>
        <v>0.51692011780970126</v>
      </c>
      <c r="H2792" s="297" t="s">
        <v>1011</v>
      </c>
      <c r="I2792" s="10">
        <v>1.04</v>
      </c>
      <c r="J2792" s="10"/>
      <c r="K2792" s="115">
        <f t="shared" si="56"/>
        <v>0.53759692252208935</v>
      </c>
      <c r="L2792" s="10" t="s">
        <v>8</v>
      </c>
      <c r="M2792" s="1146"/>
      <c r="P2792" s="34"/>
      <c r="Q2792" s="34"/>
      <c r="R2792" s="34"/>
      <c r="S2792" s="44"/>
      <c r="T2792" s="44"/>
      <c r="U2792" s="34"/>
    </row>
    <row r="2793" spans="1:24" ht="30" customHeight="1">
      <c r="A2793" s="658" t="s">
        <v>398</v>
      </c>
      <c r="B2793" s="1182" t="s">
        <v>1018</v>
      </c>
      <c r="C2793" s="1183"/>
      <c r="D2793" s="1184"/>
      <c r="E2793" s="115">
        <f>(605+925)/2</f>
        <v>765</v>
      </c>
      <c r="F2793" s="5" t="s">
        <v>10</v>
      </c>
      <c r="G2793" s="672">
        <f>+E2793/H2781</f>
        <v>4.5981847688886218E-2</v>
      </c>
      <c r="H2793" s="297" t="s">
        <v>1011</v>
      </c>
      <c r="I2793" s="10">
        <v>1.04</v>
      </c>
      <c r="J2793" s="10"/>
      <c r="K2793" s="115">
        <f t="shared" si="56"/>
        <v>4.7821121596441668E-2</v>
      </c>
      <c r="L2793" s="10" t="s">
        <v>8</v>
      </c>
      <c r="M2793" s="1146"/>
      <c r="P2793" s="34"/>
      <c r="Q2793" s="34"/>
      <c r="R2793" s="34"/>
      <c r="S2793" s="44"/>
      <c r="T2793" s="32"/>
      <c r="U2793" s="32"/>
      <c r="V2793" s="32"/>
      <c r="W2793" s="32"/>
      <c r="X2793" s="32"/>
    </row>
    <row r="2794" spans="1:24" s="32" customFormat="1" ht="30" customHeight="1">
      <c r="A2794" s="658" t="s">
        <v>398</v>
      </c>
      <c r="B2794" s="1182" t="s">
        <v>403</v>
      </c>
      <c r="C2794" s="1183"/>
      <c r="D2794" s="1184"/>
      <c r="E2794" s="115">
        <f>(1060+3175)/2</f>
        <v>2117.5</v>
      </c>
      <c r="F2794" s="5" t="s">
        <v>10</v>
      </c>
      <c r="G2794" s="672">
        <f>+E2794/H2781</f>
        <v>0.1272765522630282</v>
      </c>
      <c r="H2794" s="297" t="s">
        <v>1011</v>
      </c>
      <c r="I2794" s="10">
        <v>1.04</v>
      </c>
      <c r="J2794" s="10"/>
      <c r="K2794" s="115">
        <f t="shared" si="56"/>
        <v>0.13236761435354932</v>
      </c>
      <c r="L2794" s="10" t="s">
        <v>8</v>
      </c>
      <c r="M2794" s="1146"/>
      <c r="N2794" s="25"/>
      <c r="O2794" s="33"/>
      <c r="T2794" s="38"/>
      <c r="U2794" s="38"/>
      <c r="V2794" s="38"/>
      <c r="W2794" s="38"/>
      <c r="X2794" s="38"/>
    </row>
    <row r="2795" spans="1:24" s="38" customFormat="1" ht="30" customHeight="1">
      <c r="A2795" s="649"/>
      <c r="B2795" s="222"/>
      <c r="C2795" s="222"/>
      <c r="D2795" s="222"/>
      <c r="E2795" s="115"/>
      <c r="F2795" s="10"/>
      <c r="G2795" s="494"/>
      <c r="H2795" s="10"/>
      <c r="I2795" s="10"/>
      <c r="J2795" s="10" t="s">
        <v>346</v>
      </c>
      <c r="K2795" s="115">
        <f>SUM(K2783:K2794)</f>
        <v>139.9701298791849</v>
      </c>
      <c r="L2795" s="10" t="s">
        <v>8</v>
      </c>
      <c r="M2795" s="1146"/>
      <c r="N2795" s="193"/>
      <c r="O2795" s="1119"/>
      <c r="T2795"/>
      <c r="U2795"/>
      <c r="V2795"/>
      <c r="W2795"/>
      <c r="X2795"/>
    </row>
    <row r="2796" spans="1:24" ht="30" customHeight="1">
      <c r="A2796" s="20"/>
      <c r="B2796" s="157"/>
      <c r="C2796" s="157"/>
      <c r="D2796" s="157"/>
      <c r="E2796" s="153"/>
      <c r="F2796" s="1174" t="s">
        <v>308</v>
      </c>
      <c r="G2796" s="1208" t="s">
        <v>309</v>
      </c>
      <c r="H2796" s="1208"/>
      <c r="I2796" s="1208"/>
      <c r="J2796" s="1208"/>
      <c r="K2796" s="123">
        <v>1.06</v>
      </c>
      <c r="L2796" s="10"/>
      <c r="M2796" s="1146"/>
      <c r="N2796" s="125"/>
    </row>
    <row r="2797" spans="1:24" ht="30" customHeight="1">
      <c r="A2797" s="20"/>
      <c r="B2797" s="157"/>
      <c r="C2797" s="157"/>
      <c r="D2797" s="157"/>
      <c r="E2797" s="153"/>
      <c r="F2797" s="1175"/>
      <c r="G2797" s="1209" t="s">
        <v>310</v>
      </c>
      <c r="H2797" s="1209"/>
      <c r="I2797" s="1209"/>
      <c r="J2797" s="1209"/>
      <c r="K2797" s="123">
        <v>1.07</v>
      </c>
      <c r="L2797" s="10"/>
      <c r="M2797" s="1146"/>
      <c r="O2797"/>
      <c r="P2797" s="159"/>
      <c r="Q2797" s="147"/>
      <c r="R2797" s="149"/>
    </row>
    <row r="2798" spans="1:24" ht="30" customHeight="1">
      <c r="A2798" s="10"/>
      <c r="B2798" s="10"/>
      <c r="C2798" s="13"/>
      <c r="D2798" s="13"/>
      <c r="E2798" s="13"/>
      <c r="F2798" s="13"/>
      <c r="G2798" s="13"/>
      <c r="H2798" s="13"/>
      <c r="I2798" s="13"/>
      <c r="J2798" s="10" t="s">
        <v>289</v>
      </c>
      <c r="K2798" s="14">
        <f>+K2795*K2796/K2797</f>
        <v>138.66199782423922</v>
      </c>
      <c r="L2798" s="10" t="s">
        <v>8</v>
      </c>
      <c r="M2798" s="1146"/>
      <c r="O2798"/>
      <c r="P2798" s="159"/>
      <c r="Q2798" s="147"/>
      <c r="R2798" s="149"/>
      <c r="T2798" s="32"/>
      <c r="U2798" s="32"/>
      <c r="V2798" s="32"/>
      <c r="W2798" s="32"/>
      <c r="X2798" s="32"/>
    </row>
    <row r="2799" spans="1:24" s="32" customFormat="1" ht="30" customHeight="1">
      <c r="A2799" s="13"/>
      <c r="B2799" s="13"/>
      <c r="C2799" s="13"/>
      <c r="D2799" s="13"/>
      <c r="E2799" s="13"/>
      <c r="F2799" s="13"/>
      <c r="G2799" s="226"/>
      <c r="H2799" s="13"/>
      <c r="I2799" s="461" t="s">
        <v>385</v>
      </c>
      <c r="J2799" s="139">
        <f>VLOOKUP(B2781,'Mil Cost Premiums for RUCs'!$A$4:$R$266,18,FALSE)</f>
        <v>1.3319480854780448</v>
      </c>
      <c r="K2799" s="14">
        <f>+K2798*J2799</f>
        <v>184.69058253055624</v>
      </c>
      <c r="L2799" s="10" t="s">
        <v>8</v>
      </c>
      <c r="M2799" s="1146"/>
      <c r="N2799" s="25"/>
      <c r="O2799" s="33"/>
      <c r="T2799" s="38"/>
      <c r="U2799" s="38"/>
      <c r="V2799" s="38"/>
      <c r="W2799" s="38"/>
      <c r="X2799" s="38"/>
    </row>
    <row r="2800" spans="1:24" s="38" customFormat="1" ht="60" customHeight="1">
      <c r="A2800" s="1337" t="s">
        <v>313</v>
      </c>
      <c r="B2800" s="1338"/>
      <c r="C2800" s="1338"/>
      <c r="D2800" s="1338"/>
      <c r="E2800" s="1338"/>
      <c r="F2800" s="1338"/>
      <c r="G2800" s="1338"/>
      <c r="H2800" s="1338"/>
      <c r="I2800" s="1338"/>
      <c r="J2800" s="1338"/>
      <c r="K2800" s="1338"/>
      <c r="L2800" s="1339"/>
      <c r="M2800" s="1146"/>
      <c r="N2800" s="193"/>
      <c r="O2800" s="1119"/>
      <c r="T2800"/>
      <c r="U2800"/>
      <c r="V2800"/>
      <c r="W2800"/>
      <c r="X2800"/>
    </row>
    <row r="2801" spans="1:24" ht="84.75" hidden="1" customHeight="1">
      <c r="A2801" s="1406" t="s">
        <v>314</v>
      </c>
      <c r="B2801" s="1407"/>
      <c r="C2801" s="1408"/>
      <c r="D2801" s="1270" t="s">
        <v>1632</v>
      </c>
      <c r="E2801" s="1371"/>
      <c r="F2801" s="1371"/>
      <c r="G2801" s="1371"/>
      <c r="H2801" s="1371"/>
      <c r="I2801" s="1371"/>
      <c r="J2801" s="1371"/>
      <c r="K2801" s="1371"/>
      <c r="L2801" s="1372"/>
      <c r="M2801" s="1146"/>
      <c r="N2801" s="125"/>
      <c r="T2801" s="44"/>
      <c r="U2801" s="34"/>
    </row>
    <row r="2802" spans="1:24" ht="30" customHeight="1">
      <c r="A2802" s="1406" t="s">
        <v>316</v>
      </c>
      <c r="B2802" s="1407"/>
      <c r="C2802" s="1408"/>
      <c r="D2802" s="1270" t="s">
        <v>1633</v>
      </c>
      <c r="E2802" s="1371"/>
      <c r="F2802" s="1371"/>
      <c r="G2802" s="1371"/>
      <c r="H2802" s="1371"/>
      <c r="I2802" s="1371"/>
      <c r="J2802" s="1371"/>
      <c r="K2802" s="1371"/>
      <c r="L2802" s="1372"/>
      <c r="M2802" s="1146"/>
      <c r="P2802" s="34"/>
      <c r="Q2802" s="34"/>
      <c r="R2802" s="34"/>
      <c r="S2802" s="44"/>
      <c r="T2802" s="44"/>
      <c r="U2802" s="34"/>
    </row>
    <row r="2803" spans="1:24" ht="30" customHeight="1">
      <c r="A2803" s="1406" t="s">
        <v>317</v>
      </c>
      <c r="B2803" s="1407"/>
      <c r="C2803" s="1408"/>
      <c r="D2803" s="1270" t="s">
        <v>1634</v>
      </c>
      <c r="E2803" s="1371"/>
      <c r="F2803" s="1371"/>
      <c r="G2803" s="1371"/>
      <c r="H2803" s="1371"/>
      <c r="I2803" s="1371"/>
      <c r="J2803" s="1371"/>
      <c r="K2803" s="1371"/>
      <c r="L2803" s="1372"/>
      <c r="M2803" s="1146"/>
      <c r="P2803" s="34"/>
      <c r="Q2803" s="34"/>
      <c r="R2803" s="34"/>
      <c r="S2803" s="44"/>
      <c r="T2803" s="44"/>
      <c r="U2803" s="34"/>
    </row>
    <row r="2804" spans="1:24" ht="33.75" customHeight="1">
      <c r="A2804" s="1406" t="s">
        <v>318</v>
      </c>
      <c r="B2804" s="1407"/>
      <c r="C2804" s="1408"/>
      <c r="D2804" s="1270" t="s">
        <v>1635</v>
      </c>
      <c r="E2804" s="1371"/>
      <c r="F2804" s="1371"/>
      <c r="G2804" s="1371"/>
      <c r="H2804" s="1371"/>
      <c r="I2804" s="1371"/>
      <c r="J2804" s="1371"/>
      <c r="K2804" s="1371"/>
      <c r="L2804" s="1372"/>
      <c r="M2804" s="1146"/>
      <c r="P2804" s="34"/>
      <c r="Q2804" s="34"/>
      <c r="R2804" s="34"/>
      <c r="S2804" s="44"/>
      <c r="T2804" s="32"/>
      <c r="U2804" s="32"/>
      <c r="V2804" s="32"/>
      <c r="W2804" s="32"/>
      <c r="X2804" s="32"/>
    </row>
    <row r="2805" spans="1:24" s="32" customFormat="1" ht="38.25" customHeight="1">
      <c r="A2805" s="1406" t="s">
        <v>320</v>
      </c>
      <c r="B2805" s="1407"/>
      <c r="C2805" s="1408"/>
      <c r="D2805" s="1270" t="s">
        <v>2753</v>
      </c>
      <c r="E2805" s="1371"/>
      <c r="F2805" s="1371"/>
      <c r="G2805" s="1371"/>
      <c r="H2805" s="1371"/>
      <c r="I2805" s="1371"/>
      <c r="J2805" s="1371"/>
      <c r="K2805" s="1371"/>
      <c r="L2805" s="1372"/>
      <c r="M2805" s="1146"/>
      <c r="N2805" s="25"/>
      <c r="O2805" s="33"/>
      <c r="T2805" s="38"/>
      <c r="U2805" s="38"/>
      <c r="V2805" s="38"/>
      <c r="W2805" s="38"/>
      <c r="X2805" s="38"/>
    </row>
    <row r="2806" spans="1:24" s="38" customFormat="1" ht="30" customHeight="1">
      <c r="A2806" s="1406" t="s">
        <v>322</v>
      </c>
      <c r="B2806" s="1407"/>
      <c r="C2806" s="1408"/>
      <c r="D2806" s="1270" t="s">
        <v>1636</v>
      </c>
      <c r="E2806" s="1371"/>
      <c r="F2806" s="1371"/>
      <c r="G2806" s="1371"/>
      <c r="H2806" s="1371"/>
      <c r="I2806" s="1371"/>
      <c r="J2806" s="1371"/>
      <c r="K2806" s="1371"/>
      <c r="L2806" s="1372"/>
      <c r="M2806" s="1146"/>
      <c r="N2806" s="193"/>
      <c r="O2806" s="1119"/>
      <c r="T2806"/>
      <c r="U2806"/>
      <c r="V2806"/>
      <c r="W2806"/>
      <c r="X2806"/>
    </row>
    <row r="2807" spans="1:24" ht="30" customHeight="1">
      <c r="A2807" s="1406" t="s">
        <v>324</v>
      </c>
      <c r="B2807" s="1407"/>
      <c r="C2807" s="1408"/>
      <c r="D2807" s="1270" t="s">
        <v>1620</v>
      </c>
      <c r="E2807" s="1371"/>
      <c r="F2807" s="1371"/>
      <c r="G2807" s="1371"/>
      <c r="H2807" s="1371"/>
      <c r="I2807" s="1371"/>
      <c r="J2807" s="1371"/>
      <c r="K2807" s="1371"/>
      <c r="L2807" s="1372"/>
      <c r="M2807" s="1146"/>
      <c r="N2807" s="125"/>
      <c r="T2807" s="44"/>
      <c r="U2807" s="34"/>
    </row>
    <row r="2808" spans="1:24" ht="75" customHeight="1">
      <c r="A2808" s="1406" t="s">
        <v>325</v>
      </c>
      <c r="B2808" s="1407"/>
      <c r="C2808" s="1408"/>
      <c r="D2808" s="1270" t="s">
        <v>391</v>
      </c>
      <c r="E2808" s="1371"/>
      <c r="F2808" s="1371"/>
      <c r="G2808" s="1371"/>
      <c r="H2808" s="1371"/>
      <c r="I2808" s="1371"/>
      <c r="J2808" s="1371"/>
      <c r="K2808" s="1371"/>
      <c r="L2808" s="1372"/>
      <c r="M2808" s="1146"/>
      <c r="N2808" s="635"/>
      <c r="P2808" s="34"/>
      <c r="Q2808" s="34"/>
      <c r="R2808" s="34"/>
      <c r="S2808" s="44"/>
      <c r="T2808" s="44"/>
      <c r="U2808" s="34"/>
    </row>
    <row r="2809" spans="1:24" ht="75" customHeight="1" thickBot="1">
      <c r="A2809" s="1406" t="s">
        <v>327</v>
      </c>
      <c r="B2809" s="1407"/>
      <c r="C2809" s="1408"/>
      <c r="D2809" s="1270" t="s">
        <v>2521</v>
      </c>
      <c r="E2809" s="1371"/>
      <c r="F2809" s="1371"/>
      <c r="G2809" s="1371"/>
      <c r="H2809" s="1371"/>
      <c r="I2809" s="1371"/>
      <c r="J2809" s="1371"/>
      <c r="K2809" s="1371"/>
      <c r="L2809" s="1372"/>
      <c r="M2809" s="1146"/>
      <c r="P2809" s="34"/>
      <c r="Q2809" s="34"/>
      <c r="R2809" s="34"/>
      <c r="S2809" s="44"/>
    </row>
    <row r="2810" spans="1:24" ht="30" customHeight="1" thickBot="1">
      <c r="A2810" s="1165"/>
      <c r="B2810" s="1166"/>
      <c r="C2810" s="1166"/>
      <c r="D2810" s="1166"/>
      <c r="E2810" s="1166"/>
      <c r="F2810" s="1166"/>
      <c r="G2810" s="1166"/>
      <c r="H2810" s="1166"/>
      <c r="I2810" s="1166"/>
      <c r="J2810" s="1166"/>
      <c r="K2810" s="1166"/>
      <c r="L2810" s="1167"/>
      <c r="M2810" s="1146"/>
      <c r="N2810" s="1103"/>
      <c r="O2810"/>
      <c r="P2810" s="159"/>
      <c r="Q2810" s="147"/>
      <c r="R2810" s="149"/>
      <c r="T2810" s="38"/>
      <c r="U2810" s="38"/>
      <c r="V2810" s="38"/>
      <c r="W2810" s="38"/>
      <c r="X2810" s="38"/>
    </row>
    <row r="2811" spans="1:24" s="38" customFormat="1" ht="30" customHeight="1">
      <c r="A2811" s="81" t="s">
        <v>280</v>
      </c>
      <c r="B2811" s="82">
        <v>7340</v>
      </c>
      <c r="C2811" s="1197" t="s">
        <v>1637</v>
      </c>
      <c r="D2811" s="1198"/>
      <c r="E2811" s="74" t="s">
        <v>282</v>
      </c>
      <c r="F2811" s="75" t="s">
        <v>8</v>
      </c>
      <c r="G2811" s="58" t="s">
        <v>290</v>
      </c>
      <c r="H2811" s="104">
        <v>5142</v>
      </c>
      <c r="I2811" s="74" t="s">
        <v>283</v>
      </c>
      <c r="J2811" s="1199" t="s">
        <v>2529</v>
      </c>
      <c r="K2811" s="1199"/>
      <c r="L2811" s="1200"/>
      <c r="M2811" s="1146"/>
      <c r="N2811" s="1103"/>
      <c r="P2811" s="159"/>
      <c r="Q2811" s="147"/>
      <c r="R2811" s="149"/>
      <c r="T2811"/>
      <c r="U2811"/>
      <c r="V2811"/>
      <c r="W2811"/>
      <c r="X2811"/>
    </row>
    <row r="2812" spans="1:24" ht="30" customHeight="1">
      <c r="A2812" s="79" t="s">
        <v>304</v>
      </c>
      <c r="B2812" s="1201" t="s">
        <v>330</v>
      </c>
      <c r="C2812" s="1202"/>
      <c r="D2812" s="1203"/>
      <c r="E2812" s="150" t="s">
        <v>295</v>
      </c>
      <c r="F2812" s="150" t="s">
        <v>331</v>
      </c>
      <c r="G2812" s="1204" t="s">
        <v>332</v>
      </c>
      <c r="H2812" s="1205"/>
      <c r="I2812" s="77" t="s">
        <v>305</v>
      </c>
      <c r="J2812" s="77"/>
      <c r="K2812" s="1206" t="s">
        <v>297</v>
      </c>
      <c r="L2812" s="1207"/>
      <c r="M2812" s="1146"/>
      <c r="N2812" s="635"/>
      <c r="O2812"/>
      <c r="P2812" s="159"/>
      <c r="Q2812" s="147"/>
      <c r="R2812" s="149"/>
    </row>
    <row r="2813" spans="1:24" ht="30" customHeight="1">
      <c r="A2813" s="351" t="s">
        <v>1638</v>
      </c>
      <c r="B2813" s="1179" t="s">
        <v>1639</v>
      </c>
      <c r="C2813" s="1180"/>
      <c r="D2813" s="1181"/>
      <c r="E2813" s="153">
        <v>80.34</v>
      </c>
      <c r="F2813" s="22" t="s">
        <v>8</v>
      </c>
      <c r="G2813" s="521"/>
      <c r="H2813" s="333"/>
      <c r="I2813" s="20">
        <v>1.05</v>
      </c>
      <c r="J2813" s="20"/>
      <c r="K2813" s="153">
        <f>+E2813*I2813</f>
        <v>84.357000000000014</v>
      </c>
      <c r="L2813" s="20" t="s">
        <v>8</v>
      </c>
      <c r="M2813" s="1146"/>
      <c r="N2813" s="1103"/>
      <c r="O2813"/>
      <c r="P2813" s="159"/>
      <c r="Q2813" s="147"/>
      <c r="R2813" s="149"/>
    </row>
    <row r="2814" spans="1:24" ht="30" customHeight="1">
      <c r="A2814" s="647" t="s">
        <v>1416</v>
      </c>
      <c r="B2814" s="1179" t="s">
        <v>1110</v>
      </c>
      <c r="C2814" s="1180"/>
      <c r="D2814" s="1181"/>
      <c r="E2814" s="153">
        <v>3.74</v>
      </c>
      <c r="F2814" s="22" t="s">
        <v>8</v>
      </c>
      <c r="G2814" s="521"/>
      <c r="H2814" s="333"/>
      <c r="I2814" s="20">
        <v>1.05</v>
      </c>
      <c r="J2814" s="20"/>
      <c r="K2814" s="153">
        <f>+E2814*I2814</f>
        <v>3.9270000000000005</v>
      </c>
      <c r="L2814" s="20" t="s">
        <v>8</v>
      </c>
      <c r="M2814" s="1146"/>
      <c r="N2814" s="1103"/>
      <c r="O2814"/>
      <c r="P2814" s="159"/>
      <c r="Q2814" s="147"/>
      <c r="R2814" s="149"/>
    </row>
    <row r="2815" spans="1:24" ht="30" customHeight="1">
      <c r="A2815" s="20"/>
      <c r="B2815" s="1267"/>
      <c r="C2815" s="1267"/>
      <c r="D2815" s="1267"/>
      <c r="E2815" s="153"/>
      <c r="F2815" s="20"/>
      <c r="G2815" s="206"/>
      <c r="H2815" s="20"/>
      <c r="I2815" s="20"/>
      <c r="J2815" s="20" t="s">
        <v>346</v>
      </c>
      <c r="K2815" s="153">
        <f>SUM(K2813:K2814)</f>
        <v>88.28400000000002</v>
      </c>
      <c r="L2815" s="20" t="s">
        <v>8</v>
      </c>
      <c r="M2815" s="1146"/>
      <c r="N2815" s="282"/>
      <c r="O2815" s="34"/>
      <c r="P2815" s="283"/>
      <c r="Q2815" s="282"/>
      <c r="R2815" s="284"/>
    </row>
    <row r="2816" spans="1:24" ht="30" customHeight="1">
      <c r="A2816" s="20"/>
      <c r="B2816" s="157"/>
      <c r="C2816" s="157"/>
      <c r="D2816" s="157"/>
      <c r="E2816" s="153"/>
      <c r="F2816" s="1174" t="s">
        <v>308</v>
      </c>
      <c r="G2816" s="1208" t="s">
        <v>309</v>
      </c>
      <c r="H2816" s="1208"/>
      <c r="I2816" s="1208"/>
      <c r="J2816" s="1208"/>
      <c r="K2816" s="123">
        <v>1.06</v>
      </c>
      <c r="L2816" s="10"/>
      <c r="M2816" s="1146"/>
      <c r="N2816" s="282"/>
      <c r="O2816" s="34"/>
      <c r="P2816" s="283"/>
      <c r="Q2816" s="282"/>
      <c r="R2816" s="284"/>
    </row>
    <row r="2817" spans="1:24" ht="30" customHeight="1">
      <c r="A2817" s="20"/>
      <c r="B2817" s="157"/>
      <c r="C2817" s="157"/>
      <c r="D2817" s="157"/>
      <c r="E2817" s="153"/>
      <c r="F2817" s="1175"/>
      <c r="G2817" s="1209" t="s">
        <v>310</v>
      </c>
      <c r="H2817" s="1209"/>
      <c r="I2817" s="1209"/>
      <c r="J2817" s="1209"/>
      <c r="K2817" s="123">
        <v>1.07</v>
      </c>
      <c r="L2817" s="10"/>
      <c r="M2817" s="1146"/>
      <c r="N2817" s="1103"/>
      <c r="O2817"/>
      <c r="P2817" s="159"/>
      <c r="Q2817" s="147"/>
      <c r="R2817" s="149"/>
      <c r="T2817" s="44"/>
      <c r="U2817" s="34"/>
    </row>
    <row r="2818" spans="1:24" ht="30" customHeight="1">
      <c r="A2818" s="20"/>
      <c r="B2818" s="20"/>
      <c r="C2818" s="18"/>
      <c r="D2818" s="18"/>
      <c r="E2818" s="18"/>
      <c r="F2818" s="18"/>
      <c r="G2818" s="18"/>
      <c r="H2818" s="18"/>
      <c r="I2818" s="18"/>
      <c r="J2818" s="20" t="s">
        <v>289</v>
      </c>
      <c r="K2818" s="23">
        <f>+K2815*K2816/K2817</f>
        <v>87.458915887850495</v>
      </c>
      <c r="L2818" s="20" t="s">
        <v>8</v>
      </c>
      <c r="M2818" s="1146"/>
      <c r="P2818" s="34"/>
      <c r="Q2818" s="34"/>
      <c r="R2818" s="34"/>
      <c r="S2818" s="44"/>
      <c r="U2818" s="34"/>
    </row>
    <row r="2819" spans="1:24" ht="30" customHeight="1" thickBot="1">
      <c r="A2819" s="20"/>
      <c r="B2819" s="20"/>
      <c r="C2819" s="18"/>
      <c r="D2819" s="18"/>
      <c r="E2819" s="18"/>
      <c r="F2819" s="18"/>
      <c r="G2819" s="160" t="s">
        <v>312</v>
      </c>
      <c r="H2819" s="18"/>
      <c r="I2819" s="18"/>
      <c r="J2819" s="139">
        <f>VLOOKUP(B2811,'Mil Cost Premiums for RUCs'!$A$4:$R$266,18,FALSE)</f>
        <v>1.0291833149999998</v>
      </c>
      <c r="K2819" s="23">
        <f>+K2818*J2819</f>
        <v>90.011256979764127</v>
      </c>
      <c r="L2819" s="20" t="s">
        <v>8</v>
      </c>
      <c r="M2819" s="1146"/>
      <c r="N2819" s="1103"/>
      <c r="U2819" s="34"/>
    </row>
    <row r="2820" spans="1:24" ht="30" customHeight="1" thickBot="1">
      <c r="A2820" s="1165"/>
      <c r="B2820" s="1166"/>
      <c r="C2820" s="1166"/>
      <c r="D2820" s="1166"/>
      <c r="E2820" s="1166"/>
      <c r="F2820" s="1166"/>
      <c r="G2820" s="1166"/>
      <c r="H2820" s="1166"/>
      <c r="I2820" s="1166"/>
      <c r="J2820" s="1166"/>
      <c r="K2820" s="1166"/>
      <c r="L2820" s="1167"/>
      <c r="M2820" s="1146"/>
      <c r="T2820" s="84"/>
      <c r="U2820" s="38"/>
      <c r="V2820" s="38"/>
      <c r="W2820" s="38"/>
      <c r="X2820" s="38"/>
    </row>
    <row r="2821" spans="1:24" s="38" customFormat="1" ht="30" customHeight="1">
      <c r="A2821" s="81" t="s">
        <v>280</v>
      </c>
      <c r="B2821" s="82">
        <v>7341</v>
      </c>
      <c r="C2821" s="1197" t="s">
        <v>1640</v>
      </c>
      <c r="D2821" s="1198"/>
      <c r="E2821" s="74" t="s">
        <v>282</v>
      </c>
      <c r="F2821" s="75" t="s">
        <v>8</v>
      </c>
      <c r="G2821" s="58" t="s">
        <v>290</v>
      </c>
      <c r="H2821" s="674">
        <v>800</v>
      </c>
      <c r="I2821" s="74" t="s">
        <v>283</v>
      </c>
      <c r="J2821" s="1199" t="s">
        <v>2529</v>
      </c>
      <c r="K2821" s="1199"/>
      <c r="L2821" s="1200"/>
      <c r="M2821" s="1146"/>
      <c r="N2821" s="952"/>
      <c r="O2821" s="1119"/>
      <c r="P2821" s="39"/>
      <c r="Q2821" s="39"/>
      <c r="R2821" s="39"/>
      <c r="S2821" s="84"/>
      <c r="T2821" s="44"/>
      <c r="U2821"/>
      <c r="V2821"/>
      <c r="W2821"/>
      <c r="X2821"/>
    </row>
    <row r="2822" spans="1:24" ht="30" customHeight="1">
      <c r="A2822" s="79" t="s">
        <v>304</v>
      </c>
      <c r="B2822" s="1201" t="s">
        <v>330</v>
      </c>
      <c r="C2822" s="1202"/>
      <c r="D2822" s="1203"/>
      <c r="E2822" s="150" t="s">
        <v>295</v>
      </c>
      <c r="F2822" s="150" t="s">
        <v>331</v>
      </c>
      <c r="G2822" s="1204" t="s">
        <v>332</v>
      </c>
      <c r="H2822" s="1205"/>
      <c r="I2822" s="77" t="s">
        <v>305</v>
      </c>
      <c r="J2822" s="77"/>
      <c r="K2822" s="1206" t="s">
        <v>297</v>
      </c>
      <c r="L2822" s="1207"/>
      <c r="M2822" s="1146"/>
      <c r="P2822" s="34"/>
      <c r="Q2822" s="34"/>
      <c r="R2822" s="34"/>
      <c r="S2822" s="44"/>
      <c r="T2822" s="32"/>
      <c r="U2822" s="34"/>
    </row>
    <row r="2823" spans="1:24" ht="30" customHeight="1">
      <c r="A2823" s="351" t="s">
        <v>1641</v>
      </c>
      <c r="B2823" s="1179" t="s">
        <v>1642</v>
      </c>
      <c r="C2823" s="1180"/>
      <c r="D2823" s="1181"/>
      <c r="E2823" s="153">
        <v>111.35</v>
      </c>
      <c r="F2823" s="22" t="s">
        <v>8</v>
      </c>
      <c r="G2823" s="521"/>
      <c r="H2823" s="333"/>
      <c r="I2823" s="20">
        <v>1.05</v>
      </c>
      <c r="J2823" s="20"/>
      <c r="K2823" s="153">
        <f>+E2823*I2823</f>
        <v>116.9175</v>
      </c>
      <c r="L2823" s="20" t="s">
        <v>8</v>
      </c>
      <c r="M2823" s="1146"/>
      <c r="O2823" s="33"/>
      <c r="P2823" s="32"/>
      <c r="Q2823" s="32"/>
      <c r="R2823" s="32"/>
      <c r="S2823" s="32"/>
      <c r="U2823" s="34"/>
    </row>
    <row r="2824" spans="1:24" ht="30" customHeight="1">
      <c r="A2824" s="647" t="s">
        <v>377</v>
      </c>
      <c r="B2824" s="1179" t="s">
        <v>1601</v>
      </c>
      <c r="C2824" s="1180"/>
      <c r="D2824" s="1181"/>
      <c r="E2824" s="153">
        <v>3.8</v>
      </c>
      <c r="F2824" s="22" t="s">
        <v>8</v>
      </c>
      <c r="G2824" s="521"/>
      <c r="H2824" s="333"/>
      <c r="I2824" s="20">
        <v>1.05</v>
      </c>
      <c r="J2824" s="20"/>
      <c r="K2824" s="153">
        <f>+E2824*I2824</f>
        <v>3.9899999999999998</v>
      </c>
      <c r="L2824" s="20" t="s">
        <v>8</v>
      </c>
      <c r="M2824" s="1146"/>
      <c r="U2824" s="32"/>
      <c r="V2824" s="32"/>
      <c r="W2824" s="32"/>
      <c r="X2824" s="32"/>
    </row>
    <row r="2825" spans="1:24" s="32" customFormat="1" ht="30" customHeight="1">
      <c r="A2825" s="20"/>
      <c r="B2825" s="1267"/>
      <c r="C2825" s="1267"/>
      <c r="D2825" s="1267"/>
      <c r="E2825" s="153"/>
      <c r="F2825" s="20"/>
      <c r="G2825" s="206"/>
      <c r="H2825" s="20"/>
      <c r="I2825" s="20"/>
      <c r="J2825" s="20" t="s">
        <v>346</v>
      </c>
      <c r="K2825" s="153">
        <f>SUM(K2823:K2824)</f>
        <v>120.9075</v>
      </c>
      <c r="L2825" s="20" t="s">
        <v>8</v>
      </c>
      <c r="M2825" s="1146"/>
      <c r="N2825" s="125"/>
      <c r="O2825" s="1119"/>
      <c r="P2825"/>
      <c r="Q2825"/>
      <c r="R2825"/>
      <c r="S2825"/>
      <c r="T2825" s="84"/>
      <c r="U2825" s="38"/>
      <c r="V2825" s="38"/>
      <c r="W2825" s="38"/>
      <c r="X2825" s="38"/>
    </row>
    <row r="2826" spans="1:24" s="38" customFormat="1" ht="30" customHeight="1">
      <c r="A2826" s="20"/>
      <c r="B2826" s="157"/>
      <c r="C2826" s="157"/>
      <c r="D2826" s="157"/>
      <c r="E2826" s="153"/>
      <c r="F2826" s="1174" t="s">
        <v>308</v>
      </c>
      <c r="G2826" s="1208" t="s">
        <v>309</v>
      </c>
      <c r="H2826" s="1208"/>
      <c r="I2826" s="1208"/>
      <c r="J2826" s="1208"/>
      <c r="K2826" s="123">
        <v>1.06</v>
      </c>
      <c r="L2826" s="10"/>
      <c r="M2826" s="1146"/>
      <c r="N2826" s="193"/>
      <c r="O2826" s="1119"/>
      <c r="P2826" s="39"/>
      <c r="Q2826" s="39"/>
      <c r="R2826" s="39"/>
      <c r="S2826" s="84"/>
      <c r="T2826" s="44"/>
      <c r="U2826"/>
      <c r="V2826"/>
      <c r="W2826"/>
      <c r="X2826"/>
    </row>
    <row r="2827" spans="1:24" ht="30" customHeight="1">
      <c r="A2827" s="20"/>
      <c r="B2827" s="157"/>
      <c r="C2827" s="157"/>
      <c r="D2827" s="157"/>
      <c r="E2827" s="153"/>
      <c r="F2827" s="1175"/>
      <c r="G2827" s="1209" t="s">
        <v>310</v>
      </c>
      <c r="H2827" s="1209"/>
      <c r="I2827" s="1209"/>
      <c r="J2827" s="1209"/>
      <c r="K2827" s="123">
        <v>1.07</v>
      </c>
      <c r="L2827" s="10"/>
      <c r="M2827" s="1146"/>
      <c r="P2827" s="34"/>
      <c r="Q2827" s="34"/>
      <c r="R2827" s="34"/>
      <c r="S2827" s="44"/>
      <c r="T2827" s="32"/>
      <c r="U2827" s="34"/>
    </row>
    <row r="2828" spans="1:24" ht="30" customHeight="1">
      <c r="A2828" s="20"/>
      <c r="B2828" s="20"/>
      <c r="C2828" s="18"/>
      <c r="D2828" s="18"/>
      <c r="E2828" s="18"/>
      <c r="F2828" s="18"/>
      <c r="G2828" s="18"/>
      <c r="H2828" s="18"/>
      <c r="I2828" s="18"/>
      <c r="J2828" s="20" t="s">
        <v>289</v>
      </c>
      <c r="K2828" s="23">
        <f>+K2825*K2826/K2827</f>
        <v>119.77752336448599</v>
      </c>
      <c r="L2828" s="20" t="s">
        <v>8</v>
      </c>
      <c r="M2828" s="1146"/>
      <c r="O2828" s="33"/>
      <c r="P2828" s="32"/>
      <c r="Q2828" s="32"/>
      <c r="R2828" s="32"/>
      <c r="S2828" s="32"/>
      <c r="U2828" s="34"/>
    </row>
    <row r="2829" spans="1:24" ht="30" customHeight="1" thickBot="1">
      <c r="A2829" s="20"/>
      <c r="B2829" s="20"/>
      <c r="C2829" s="18"/>
      <c r="D2829" s="18"/>
      <c r="E2829" s="18"/>
      <c r="F2829" s="18"/>
      <c r="G2829" s="160" t="s">
        <v>312</v>
      </c>
      <c r="H2829" s="18"/>
      <c r="I2829" s="18"/>
      <c r="J2829" s="139">
        <f>VLOOKUP(B2821,'Mil Cost Premiums for RUCs'!$A$4:$R$266,18,FALSE)</f>
        <v>1.1345642417967394</v>
      </c>
      <c r="K2829" s="23">
        <f>+K2828*J2829</f>
        <v>135.89529498031928</v>
      </c>
      <c r="L2829" s="20" t="s">
        <v>8</v>
      </c>
      <c r="M2829" s="1146"/>
      <c r="U2829" s="32"/>
      <c r="V2829" s="32"/>
      <c r="W2829" s="32"/>
      <c r="X2829" s="32"/>
    </row>
    <row r="2830" spans="1:24" s="32" customFormat="1" ht="30" customHeight="1" thickBot="1">
      <c r="A2830" s="1165"/>
      <c r="B2830" s="1166"/>
      <c r="C2830" s="1166"/>
      <c r="D2830" s="1166"/>
      <c r="E2830" s="1166"/>
      <c r="F2830" s="1166"/>
      <c r="G2830" s="1166"/>
      <c r="H2830" s="1166"/>
      <c r="I2830" s="1166"/>
      <c r="J2830" s="1166"/>
      <c r="K2830" s="1166"/>
      <c r="L2830" s="1167"/>
      <c r="M2830" s="1146"/>
      <c r="N2830" s="125"/>
      <c r="O2830" s="1119"/>
      <c r="P2830"/>
      <c r="Q2830"/>
      <c r="R2830"/>
      <c r="S2830"/>
      <c r="T2830" s="84"/>
      <c r="U2830" s="38"/>
      <c r="V2830" s="38"/>
      <c r="W2830" s="38"/>
      <c r="X2830" s="38"/>
    </row>
    <row r="2831" spans="1:24" s="38" customFormat="1" ht="30" customHeight="1">
      <c r="A2831" s="81" t="s">
        <v>280</v>
      </c>
      <c r="B2831" s="82">
        <v>7342</v>
      </c>
      <c r="C2831" s="1197" t="s">
        <v>1643</v>
      </c>
      <c r="D2831" s="1198"/>
      <c r="E2831" s="74" t="s">
        <v>282</v>
      </c>
      <c r="F2831" s="75" t="s">
        <v>8</v>
      </c>
      <c r="G2831" s="58" t="s">
        <v>290</v>
      </c>
      <c r="H2831" s="675">
        <v>4487</v>
      </c>
      <c r="I2831" s="74" t="s">
        <v>283</v>
      </c>
      <c r="J2831" s="1199" t="s">
        <v>2529</v>
      </c>
      <c r="K2831" s="1199"/>
      <c r="L2831" s="1200"/>
      <c r="M2831" s="1146"/>
      <c r="N2831" s="193"/>
      <c r="O2831" s="1119"/>
      <c r="P2831" s="39"/>
      <c r="Q2831" s="39"/>
      <c r="R2831" s="39"/>
      <c r="S2831" s="84"/>
      <c r="T2831" s="44"/>
      <c r="U2831"/>
      <c r="V2831"/>
      <c r="W2831"/>
      <c r="X2831"/>
    </row>
    <row r="2832" spans="1:24" ht="30" customHeight="1">
      <c r="A2832" s="79" t="s">
        <v>304</v>
      </c>
      <c r="B2832" s="1201" t="s">
        <v>330</v>
      </c>
      <c r="C2832" s="1202"/>
      <c r="D2832" s="1203"/>
      <c r="E2832" s="150" t="s">
        <v>295</v>
      </c>
      <c r="F2832" s="150" t="s">
        <v>331</v>
      </c>
      <c r="G2832" s="1204" t="s">
        <v>332</v>
      </c>
      <c r="H2832" s="1205"/>
      <c r="I2832" s="77" t="s">
        <v>305</v>
      </c>
      <c r="J2832" s="77"/>
      <c r="K2832" s="1206" t="s">
        <v>297</v>
      </c>
      <c r="L2832" s="1207"/>
      <c r="M2832" s="1146"/>
      <c r="N2832" s="982"/>
      <c r="P2832" s="34"/>
      <c r="Q2832" s="34"/>
      <c r="R2832" s="34"/>
      <c r="S2832" s="44"/>
      <c r="T2832" s="44"/>
      <c r="U2832" s="34"/>
    </row>
    <row r="2833" spans="1:24" ht="30" customHeight="1">
      <c r="A2833" s="351" t="s">
        <v>1594</v>
      </c>
      <c r="B2833" s="1179" t="s">
        <v>2754</v>
      </c>
      <c r="C2833" s="1180"/>
      <c r="D2833" s="1181"/>
      <c r="E2833" s="153">
        <v>73</v>
      </c>
      <c r="F2833" s="22" t="s">
        <v>8</v>
      </c>
      <c r="G2833" s="521"/>
      <c r="H2833" s="333"/>
      <c r="I2833" s="20">
        <v>1.05</v>
      </c>
      <c r="J2833" s="20"/>
      <c r="K2833" s="153">
        <f>+E2833*I2833</f>
        <v>76.650000000000006</v>
      </c>
      <c r="L2833" s="20" t="s">
        <v>8</v>
      </c>
      <c r="M2833" s="1146"/>
      <c r="N2833" s="982"/>
      <c r="P2833" s="34"/>
      <c r="Q2833" s="34"/>
      <c r="R2833" s="34"/>
      <c r="S2833" s="44"/>
      <c r="T2833" s="32"/>
      <c r="U2833" s="34"/>
    </row>
    <row r="2834" spans="1:24" ht="30" customHeight="1">
      <c r="A2834" s="647" t="s">
        <v>1066</v>
      </c>
      <c r="B2834" s="207" t="s">
        <v>1644</v>
      </c>
      <c r="C2834" s="468"/>
      <c r="D2834" s="469"/>
      <c r="E2834" s="335">
        <v>22.68</v>
      </c>
      <c r="F2834" s="22" t="s">
        <v>8</v>
      </c>
      <c r="G2834" s="521"/>
      <c r="H2834" s="333"/>
      <c r="I2834" s="20">
        <v>1.05</v>
      </c>
      <c r="J2834" s="20"/>
      <c r="K2834" s="153">
        <f>+E2834*I2834</f>
        <v>23.814</v>
      </c>
      <c r="L2834" s="20" t="s">
        <v>8</v>
      </c>
      <c r="M2834" s="1146"/>
      <c r="O2834" s="33"/>
      <c r="P2834" s="32"/>
      <c r="Q2834" s="32"/>
      <c r="R2834" s="32"/>
      <c r="S2834" s="32"/>
      <c r="T2834" s="32"/>
      <c r="U2834" s="34"/>
    </row>
    <row r="2835" spans="1:24" ht="30" customHeight="1">
      <c r="A2835" s="647" t="s">
        <v>1066</v>
      </c>
      <c r="B2835" s="1176" t="s">
        <v>2755</v>
      </c>
      <c r="C2835" s="1177"/>
      <c r="D2835" s="1178"/>
      <c r="E2835" s="335">
        <f>+(12.15+16.58)/2</f>
        <v>14.364999999999998</v>
      </c>
      <c r="F2835" s="22" t="s">
        <v>8</v>
      </c>
      <c r="G2835" s="521"/>
      <c r="H2835" s="333"/>
      <c r="I2835" s="20">
        <v>1.05</v>
      </c>
      <c r="J2835" s="20"/>
      <c r="K2835" s="153">
        <f>+E2835*I2835</f>
        <v>15.08325</v>
      </c>
      <c r="L2835" s="20" t="s">
        <v>8</v>
      </c>
      <c r="M2835" s="1146"/>
      <c r="N2835" s="952"/>
      <c r="O2835" s="33"/>
      <c r="P2835" s="32"/>
      <c r="Q2835" s="32"/>
      <c r="R2835" s="32"/>
      <c r="S2835" s="32"/>
      <c r="T2835" s="38"/>
      <c r="U2835" s="38"/>
      <c r="V2835" s="38"/>
      <c r="W2835" s="38"/>
      <c r="X2835" s="38"/>
    </row>
    <row r="2836" spans="1:24" s="38" customFormat="1" ht="30" customHeight="1">
      <c r="A2836" s="647" t="s">
        <v>377</v>
      </c>
      <c r="B2836" s="1179" t="s">
        <v>1645</v>
      </c>
      <c r="C2836" s="1180"/>
      <c r="D2836" s="1181"/>
      <c r="E2836" s="153">
        <v>3.4</v>
      </c>
      <c r="F2836" s="22" t="s">
        <v>8</v>
      </c>
      <c r="G2836" s="521"/>
      <c r="H2836" s="333"/>
      <c r="I2836" s="20">
        <v>1.05</v>
      </c>
      <c r="J2836" s="20"/>
      <c r="K2836" s="153">
        <f>+E2836*I2836</f>
        <v>3.57</v>
      </c>
      <c r="L2836" s="20" t="s">
        <v>8</v>
      </c>
      <c r="M2836" s="1146"/>
      <c r="N2836" s="968"/>
      <c r="O2836" s="1119"/>
      <c r="T2836"/>
      <c r="U2836" s="32"/>
      <c r="V2836" s="32"/>
      <c r="W2836" s="32"/>
      <c r="X2836" s="32"/>
    </row>
    <row r="2837" spans="1:24" s="32" customFormat="1" ht="30" customHeight="1">
      <c r="A2837" s="20"/>
      <c r="B2837" s="1267"/>
      <c r="C2837" s="1267"/>
      <c r="D2837" s="1267"/>
      <c r="E2837" s="153"/>
      <c r="F2837" s="20"/>
      <c r="G2837" s="206"/>
      <c r="H2837" s="20"/>
      <c r="I2837" s="20"/>
      <c r="J2837" s="20" t="s">
        <v>346</v>
      </c>
      <c r="K2837" s="153">
        <f>SUM(K2833:K2836)</f>
        <v>119.11724999999998</v>
      </c>
      <c r="L2837" s="20" t="s">
        <v>8</v>
      </c>
      <c r="M2837" s="1146"/>
      <c r="N2837" s="977"/>
      <c r="O2837" s="1119"/>
      <c r="P2837"/>
      <c r="Q2837"/>
      <c r="R2837"/>
      <c r="S2837"/>
      <c r="T2837" s="44"/>
      <c r="U2837"/>
      <c r="V2837"/>
      <c r="W2837"/>
      <c r="X2837"/>
    </row>
    <row r="2838" spans="1:24" ht="30" customHeight="1">
      <c r="A2838" s="20"/>
      <c r="B2838" s="157"/>
      <c r="C2838" s="157"/>
      <c r="D2838" s="157"/>
      <c r="E2838" s="153"/>
      <c r="F2838" s="1174" t="s">
        <v>308</v>
      </c>
      <c r="G2838" s="1208" t="s">
        <v>309</v>
      </c>
      <c r="H2838" s="1208"/>
      <c r="I2838" s="1208"/>
      <c r="J2838" s="1208"/>
      <c r="K2838" s="123">
        <v>1.06</v>
      </c>
      <c r="L2838" s="10"/>
      <c r="M2838" s="1146"/>
      <c r="P2838" s="34"/>
      <c r="Q2838" s="34"/>
      <c r="R2838" s="34"/>
      <c r="S2838" s="44"/>
      <c r="T2838" s="44"/>
    </row>
    <row r="2839" spans="1:24" ht="30" customHeight="1">
      <c r="A2839" s="20"/>
      <c r="B2839" s="157"/>
      <c r="C2839" s="157"/>
      <c r="D2839" s="157"/>
      <c r="E2839" s="153"/>
      <c r="F2839" s="1175"/>
      <c r="G2839" s="1209" t="s">
        <v>310</v>
      </c>
      <c r="H2839" s="1209"/>
      <c r="I2839" s="1209"/>
      <c r="J2839" s="1209"/>
      <c r="K2839" s="123">
        <v>1.07</v>
      </c>
      <c r="L2839" s="10"/>
      <c r="M2839" s="1146"/>
      <c r="P2839" s="34"/>
      <c r="Q2839" s="34"/>
      <c r="R2839" s="34"/>
      <c r="S2839" s="44"/>
    </row>
    <row r="2840" spans="1:24" ht="30" customHeight="1">
      <c r="A2840" s="20"/>
      <c r="B2840" s="20"/>
      <c r="C2840" s="18"/>
      <c r="D2840" s="18"/>
      <c r="E2840" s="18"/>
      <c r="F2840" s="18"/>
      <c r="G2840" s="18"/>
      <c r="H2840" s="18"/>
      <c r="I2840" s="18"/>
      <c r="J2840" s="20" t="s">
        <v>289</v>
      </c>
      <c r="K2840" s="23">
        <f>+K2837*K2838/K2839</f>
        <v>118.00400467289718</v>
      </c>
      <c r="L2840" s="20" t="s">
        <v>8</v>
      </c>
      <c r="M2840" s="1146"/>
      <c r="O2840"/>
      <c r="P2840" s="159"/>
      <c r="Q2840" s="147"/>
      <c r="R2840" s="149"/>
    </row>
    <row r="2841" spans="1:24" ht="30" customHeight="1" thickBot="1">
      <c r="A2841" s="20"/>
      <c r="B2841" s="20"/>
      <c r="C2841" s="18"/>
      <c r="D2841" s="18"/>
      <c r="E2841" s="18"/>
      <c r="F2841" s="18"/>
      <c r="G2841" s="160" t="s">
        <v>312</v>
      </c>
      <c r="H2841" s="18"/>
      <c r="I2841" s="18"/>
      <c r="J2841" s="139">
        <f>VLOOKUP(B2831,'Mil Cost Premiums for RUCs'!$A$4:$R$266,18,FALSE)</f>
        <v>1.1113659853696505</v>
      </c>
      <c r="K2841" s="23">
        <f>+K2840*J2841</f>
        <v>131.14563693085921</v>
      </c>
      <c r="L2841" s="20" t="s">
        <v>8</v>
      </c>
      <c r="M2841" s="1146"/>
      <c r="O2841"/>
      <c r="P2841" s="159"/>
      <c r="Q2841" s="147"/>
      <c r="R2841" s="149"/>
    </row>
    <row r="2842" spans="1:24" ht="30" customHeight="1" thickBot="1">
      <c r="A2842" s="1165"/>
      <c r="B2842" s="1166"/>
      <c r="C2842" s="1166"/>
      <c r="D2842" s="1166"/>
      <c r="E2842" s="1166"/>
      <c r="F2842" s="1166"/>
      <c r="G2842" s="1166"/>
      <c r="H2842" s="1166"/>
      <c r="I2842" s="1166"/>
      <c r="J2842" s="1166"/>
      <c r="K2842" s="1166"/>
      <c r="L2842" s="1167"/>
      <c r="M2842" s="1146"/>
      <c r="N2842" s="1103"/>
      <c r="O2842"/>
      <c r="P2842" s="159"/>
      <c r="Q2842" s="147"/>
      <c r="R2842" s="149"/>
      <c r="T2842" s="38"/>
      <c r="U2842" s="38"/>
      <c r="V2842" s="38"/>
      <c r="W2842" s="38"/>
      <c r="X2842" s="38"/>
    </row>
    <row r="2843" spans="1:24" s="38" customFormat="1" ht="30" customHeight="1">
      <c r="A2843" s="81" t="s">
        <v>280</v>
      </c>
      <c r="B2843" s="82">
        <v>7344</v>
      </c>
      <c r="C2843" s="1197" t="s">
        <v>1646</v>
      </c>
      <c r="D2843" s="1198"/>
      <c r="E2843" s="74" t="s">
        <v>282</v>
      </c>
      <c r="F2843" s="75" t="s">
        <v>8</v>
      </c>
      <c r="G2843" s="58" t="s">
        <v>290</v>
      </c>
      <c r="H2843" s="76">
        <v>4921</v>
      </c>
      <c r="I2843" s="74" t="s">
        <v>283</v>
      </c>
      <c r="J2843" s="1199" t="s">
        <v>2529</v>
      </c>
      <c r="K2843" s="1199"/>
      <c r="L2843" s="1200"/>
      <c r="M2843" s="1146"/>
      <c r="N2843" s="1103"/>
      <c r="P2843" s="159"/>
      <c r="Q2843" s="147"/>
      <c r="R2843" s="149"/>
      <c r="T2843"/>
      <c r="U2843"/>
      <c r="V2843"/>
      <c r="W2843"/>
      <c r="X2843"/>
    </row>
    <row r="2844" spans="1:24" ht="30" customHeight="1">
      <c r="A2844" s="79" t="s">
        <v>304</v>
      </c>
      <c r="B2844" s="1201" t="s">
        <v>330</v>
      </c>
      <c r="C2844" s="1202"/>
      <c r="D2844" s="1203"/>
      <c r="E2844" s="150" t="s">
        <v>295</v>
      </c>
      <c r="F2844" s="150" t="s">
        <v>331</v>
      </c>
      <c r="G2844" s="1204" t="s">
        <v>332</v>
      </c>
      <c r="H2844" s="1205"/>
      <c r="I2844" s="77" t="s">
        <v>305</v>
      </c>
      <c r="J2844" s="77"/>
      <c r="K2844" s="1206" t="s">
        <v>297</v>
      </c>
      <c r="L2844" s="1207"/>
      <c r="M2844" s="1146"/>
      <c r="N2844" s="1103"/>
      <c r="O2844"/>
      <c r="P2844" s="159"/>
      <c r="Q2844" s="147"/>
      <c r="R2844" s="149"/>
    </row>
    <row r="2845" spans="1:24" ht="30" customHeight="1">
      <c r="A2845" s="351" t="s">
        <v>1647</v>
      </c>
      <c r="B2845" s="1179" t="s">
        <v>1648</v>
      </c>
      <c r="C2845" s="1180"/>
      <c r="D2845" s="1181"/>
      <c r="E2845" s="153">
        <v>133</v>
      </c>
      <c r="F2845" s="22" t="s">
        <v>8</v>
      </c>
      <c r="G2845" s="521"/>
      <c r="H2845" s="333"/>
      <c r="I2845" s="20">
        <v>1.05</v>
      </c>
      <c r="J2845" s="20"/>
      <c r="K2845" s="153">
        <f>+E2845*I2845</f>
        <v>139.65</v>
      </c>
      <c r="L2845" s="20" t="s">
        <v>8</v>
      </c>
      <c r="M2845" s="1146"/>
      <c r="N2845" s="1103"/>
      <c r="O2845"/>
      <c r="P2845" s="159"/>
      <c r="Q2845" s="147"/>
      <c r="R2845" s="149"/>
    </row>
    <row r="2846" spans="1:24" ht="30" customHeight="1">
      <c r="A2846" s="647" t="s">
        <v>377</v>
      </c>
      <c r="B2846" s="1179" t="s">
        <v>1110</v>
      </c>
      <c r="C2846" s="1180"/>
      <c r="D2846" s="1181"/>
      <c r="E2846" s="153">
        <v>3.4</v>
      </c>
      <c r="F2846" s="22" t="s">
        <v>8</v>
      </c>
      <c r="G2846" s="521"/>
      <c r="H2846" s="333"/>
      <c r="I2846" s="20">
        <v>1.05</v>
      </c>
      <c r="J2846" s="20"/>
      <c r="K2846" s="153">
        <f>+E2846*I2846</f>
        <v>3.57</v>
      </c>
      <c r="L2846" s="20" t="s">
        <v>8</v>
      </c>
      <c r="M2846" s="1146"/>
      <c r="N2846" s="1103"/>
      <c r="O2846"/>
      <c r="P2846" s="159"/>
      <c r="Q2846" s="147"/>
      <c r="R2846" s="149"/>
    </row>
    <row r="2847" spans="1:24" ht="30" customHeight="1">
      <c r="A2847" s="20"/>
      <c r="B2847" s="1267"/>
      <c r="C2847" s="1267"/>
      <c r="D2847" s="1267"/>
      <c r="E2847" s="153"/>
      <c r="F2847" s="20"/>
      <c r="G2847" s="206"/>
      <c r="H2847" s="20"/>
      <c r="I2847" s="20"/>
      <c r="J2847" s="20" t="s">
        <v>346</v>
      </c>
      <c r="K2847" s="153">
        <f>SUM(K2845:K2846)</f>
        <v>143.22</v>
      </c>
      <c r="L2847" s="20" t="s">
        <v>8</v>
      </c>
      <c r="M2847" s="1146"/>
      <c r="N2847" s="282"/>
      <c r="O2847" s="34"/>
      <c r="P2847" s="283"/>
      <c r="Q2847" s="282"/>
      <c r="R2847" s="284"/>
    </row>
    <row r="2848" spans="1:24" ht="30" customHeight="1">
      <c r="A2848" s="20"/>
      <c r="B2848" s="157"/>
      <c r="C2848" s="157"/>
      <c r="D2848" s="157"/>
      <c r="E2848" s="153"/>
      <c r="F2848" s="1174" t="s">
        <v>308</v>
      </c>
      <c r="G2848" s="1208" t="s">
        <v>309</v>
      </c>
      <c r="H2848" s="1208"/>
      <c r="I2848" s="1208"/>
      <c r="J2848" s="1208"/>
      <c r="K2848" s="123">
        <v>1.07</v>
      </c>
      <c r="L2848" s="10"/>
      <c r="M2848" s="1146"/>
      <c r="N2848" s="282"/>
      <c r="O2848" s="34"/>
      <c r="P2848" s="283"/>
      <c r="Q2848" s="282"/>
      <c r="R2848" s="284"/>
    </row>
    <row r="2849" spans="1:24" ht="30" customHeight="1">
      <c r="A2849" s="20"/>
      <c r="B2849" s="157"/>
      <c r="C2849" s="157"/>
      <c r="D2849" s="157"/>
      <c r="E2849" s="153"/>
      <c r="F2849" s="1175"/>
      <c r="G2849" s="1209" t="s">
        <v>310</v>
      </c>
      <c r="H2849" s="1209"/>
      <c r="I2849" s="1209"/>
      <c r="J2849" s="1209"/>
      <c r="K2849" s="123">
        <v>1.07</v>
      </c>
      <c r="L2849" s="10"/>
      <c r="M2849" s="1146"/>
      <c r="N2849" s="1103"/>
      <c r="O2849"/>
      <c r="P2849" s="159"/>
      <c r="Q2849" s="147"/>
      <c r="R2849" s="149"/>
      <c r="T2849" s="32"/>
      <c r="U2849" s="34"/>
    </row>
    <row r="2850" spans="1:24" ht="30" customHeight="1">
      <c r="A2850" s="20"/>
      <c r="B2850" s="20"/>
      <c r="C2850" s="18"/>
      <c r="D2850" s="18"/>
      <c r="E2850" s="18"/>
      <c r="F2850" s="18"/>
      <c r="G2850" s="18"/>
      <c r="H2850" s="18"/>
      <c r="I2850" s="18"/>
      <c r="J2850" s="20" t="s">
        <v>289</v>
      </c>
      <c r="K2850" s="23">
        <f>+K2847*K2848/K2849</f>
        <v>143.22</v>
      </c>
      <c r="L2850" s="20" t="s">
        <v>8</v>
      </c>
      <c r="M2850" s="1146"/>
      <c r="N2850" s="1103"/>
      <c r="O2850" s="33"/>
      <c r="P2850" s="32"/>
      <c r="Q2850" s="32"/>
      <c r="R2850" s="32"/>
      <c r="S2850" s="32"/>
      <c r="T2850" s="32"/>
      <c r="U2850" s="34"/>
    </row>
    <row r="2851" spans="1:24" ht="30" customHeight="1" thickBot="1">
      <c r="A2851" s="20"/>
      <c r="B2851" s="20"/>
      <c r="C2851" s="18"/>
      <c r="D2851" s="18"/>
      <c r="E2851" s="18"/>
      <c r="F2851" s="18"/>
      <c r="G2851" s="160" t="s">
        <v>312</v>
      </c>
      <c r="H2851" s="18"/>
      <c r="I2851" s="18"/>
      <c r="J2851" s="139">
        <f>VLOOKUP(B2843,'Mil Cost Premiums for RUCs'!$A$4:$R$266,18,FALSE)</f>
        <v>1.3319480854780448</v>
      </c>
      <c r="K2851" s="23">
        <f>+K2850*J2851</f>
        <v>190.76160480216558</v>
      </c>
      <c r="L2851" s="20" t="s">
        <v>8</v>
      </c>
      <c r="M2851" s="1146"/>
      <c r="N2851" s="973"/>
      <c r="O2851" s="33"/>
      <c r="P2851" s="32"/>
      <c r="Q2851" s="32"/>
      <c r="R2851" s="32"/>
      <c r="S2851" s="32"/>
      <c r="T2851" s="32"/>
      <c r="U2851" s="32"/>
      <c r="V2851" s="32"/>
      <c r="W2851" s="32"/>
      <c r="X2851" s="32"/>
    </row>
    <row r="2852" spans="1:24" s="32" customFormat="1" ht="30" customHeight="1" thickBot="1">
      <c r="A2852" s="1165"/>
      <c r="B2852" s="1166"/>
      <c r="C2852" s="1166"/>
      <c r="D2852" s="1166"/>
      <c r="E2852" s="1166"/>
      <c r="F2852" s="1166"/>
      <c r="G2852" s="1166"/>
      <c r="H2852" s="1166"/>
      <c r="I2852" s="1166"/>
      <c r="J2852" s="1166"/>
      <c r="K2852" s="1166"/>
      <c r="L2852" s="1167"/>
      <c r="M2852" s="1146"/>
      <c r="N2852" s="124"/>
      <c r="O2852" s="33"/>
      <c r="T2852" s="38"/>
      <c r="U2852" s="38"/>
      <c r="V2852" s="38"/>
      <c r="W2852" s="38"/>
      <c r="X2852" s="38"/>
    </row>
    <row r="2853" spans="1:24" s="38" customFormat="1" ht="30" customHeight="1">
      <c r="A2853" s="81" t="s">
        <v>280</v>
      </c>
      <c r="B2853" s="82">
        <v>7345</v>
      </c>
      <c r="C2853" s="1197" t="s">
        <v>1649</v>
      </c>
      <c r="D2853" s="1198"/>
      <c r="E2853" s="74" t="s">
        <v>282</v>
      </c>
      <c r="F2853" s="75" t="s">
        <v>8</v>
      </c>
      <c r="G2853" s="58" t="s">
        <v>290</v>
      </c>
      <c r="H2853" s="675">
        <v>4306</v>
      </c>
      <c r="I2853" s="74" t="s">
        <v>283</v>
      </c>
      <c r="J2853" s="1199" t="s">
        <v>2529</v>
      </c>
      <c r="K2853" s="1199"/>
      <c r="L2853" s="1200"/>
      <c r="M2853" s="1146"/>
      <c r="N2853" s="193"/>
      <c r="O2853" s="1119"/>
      <c r="T2853" s="32"/>
      <c r="U2853" s="32"/>
      <c r="V2853" s="32"/>
      <c r="W2853" s="32"/>
      <c r="X2853" s="32"/>
    </row>
    <row r="2854" spans="1:24" s="32" customFormat="1" ht="30" customHeight="1">
      <c r="A2854" s="79" t="s">
        <v>304</v>
      </c>
      <c r="B2854" s="1201" t="s">
        <v>330</v>
      </c>
      <c r="C2854" s="1202"/>
      <c r="D2854" s="1203"/>
      <c r="E2854" s="150" t="s">
        <v>295</v>
      </c>
      <c r="F2854" s="150" t="s">
        <v>331</v>
      </c>
      <c r="G2854" s="1204" t="s">
        <v>332</v>
      </c>
      <c r="H2854" s="1205"/>
      <c r="I2854" s="77" t="s">
        <v>305</v>
      </c>
      <c r="J2854" s="77"/>
      <c r="K2854" s="1206" t="s">
        <v>297</v>
      </c>
      <c r="L2854" s="1207"/>
      <c r="M2854" s="1146"/>
      <c r="N2854" s="635"/>
      <c r="O2854" s="33"/>
    </row>
    <row r="2855" spans="1:24" s="32" customFormat="1" ht="30" customHeight="1">
      <c r="A2855" s="351" t="s">
        <v>1650</v>
      </c>
      <c r="B2855" s="1179" t="s">
        <v>1651</v>
      </c>
      <c r="C2855" s="1180"/>
      <c r="D2855" s="1181"/>
      <c r="E2855" s="153">
        <v>121.49</v>
      </c>
      <c r="F2855" s="22" t="s">
        <v>8</v>
      </c>
      <c r="G2855" s="521"/>
      <c r="H2855" s="333"/>
      <c r="I2855" s="20">
        <v>1.06</v>
      </c>
      <c r="J2855" s="20"/>
      <c r="K2855" s="153">
        <f>+E2855*I2855</f>
        <v>128.77940000000001</v>
      </c>
      <c r="L2855" s="20" t="s">
        <v>8</v>
      </c>
      <c r="M2855" s="1146"/>
      <c r="N2855" s="1103"/>
      <c r="O2855" s="33"/>
    </row>
    <row r="2856" spans="1:24" s="32" customFormat="1" ht="30" customHeight="1">
      <c r="A2856" s="647" t="s">
        <v>377</v>
      </c>
      <c r="B2856" s="1179" t="s">
        <v>1110</v>
      </c>
      <c r="C2856" s="1180"/>
      <c r="D2856" s="1181"/>
      <c r="E2856" s="153">
        <v>3.4</v>
      </c>
      <c r="F2856" s="22" t="s">
        <v>8</v>
      </c>
      <c r="G2856" s="521"/>
      <c r="H2856" s="333"/>
      <c r="I2856" s="20">
        <v>1.05</v>
      </c>
      <c r="J2856" s="20"/>
      <c r="K2856" s="153">
        <f>+E2856*I2856</f>
        <v>3.57</v>
      </c>
      <c r="L2856" s="20" t="s">
        <v>8</v>
      </c>
      <c r="M2856" s="1146"/>
      <c r="N2856" s="1103"/>
      <c r="O2856" s="33"/>
    </row>
    <row r="2857" spans="1:24" s="32" customFormat="1" ht="30" customHeight="1">
      <c r="A2857" s="20"/>
      <c r="B2857" s="1267"/>
      <c r="C2857" s="1267"/>
      <c r="D2857" s="1267"/>
      <c r="E2857" s="153"/>
      <c r="F2857" s="20"/>
      <c r="G2857" s="206"/>
      <c r="H2857" s="20"/>
      <c r="I2857" s="20"/>
      <c r="J2857" s="20" t="s">
        <v>346</v>
      </c>
      <c r="K2857" s="153">
        <f>SUM(K2855:K2856)</f>
        <v>132.3494</v>
      </c>
      <c r="L2857" s="20" t="s">
        <v>8</v>
      </c>
      <c r="M2857" s="1146"/>
      <c r="N2857" s="1103"/>
      <c r="O2857" s="33"/>
    </row>
    <row r="2858" spans="1:24" s="32" customFormat="1" ht="30" customHeight="1">
      <c r="A2858" s="20"/>
      <c r="B2858" s="157"/>
      <c r="C2858" s="157"/>
      <c r="D2858" s="157"/>
      <c r="E2858" s="153"/>
      <c r="F2858" s="1174" t="s">
        <v>308</v>
      </c>
      <c r="G2858" s="1208" t="s">
        <v>309</v>
      </c>
      <c r="H2858" s="1208"/>
      <c r="I2858" s="1208"/>
      <c r="J2858" s="1208"/>
      <c r="K2858" s="123">
        <v>1.06</v>
      </c>
      <c r="L2858" s="10"/>
      <c r="M2858" s="1146"/>
      <c r="N2858" s="124"/>
      <c r="O2858" s="33"/>
    </row>
    <row r="2859" spans="1:24" s="32" customFormat="1" ht="30" customHeight="1">
      <c r="A2859" s="20"/>
      <c r="B2859" s="157"/>
      <c r="C2859" s="157"/>
      <c r="D2859" s="157"/>
      <c r="E2859" s="153"/>
      <c r="F2859" s="1175"/>
      <c r="G2859" s="1209" t="s">
        <v>310</v>
      </c>
      <c r="H2859" s="1209"/>
      <c r="I2859" s="1209"/>
      <c r="J2859" s="1209"/>
      <c r="K2859" s="123">
        <v>1.07</v>
      </c>
      <c r="L2859" s="10"/>
      <c r="M2859" s="1146"/>
      <c r="N2859" s="125"/>
      <c r="O2859" s="33"/>
      <c r="T2859"/>
    </row>
    <row r="2860" spans="1:24" s="32" customFormat="1" ht="30" customHeight="1">
      <c r="A2860" s="20"/>
      <c r="B2860" s="20"/>
      <c r="C2860" s="18"/>
      <c r="D2860" s="18"/>
      <c r="E2860" s="18"/>
      <c r="F2860" s="18"/>
      <c r="G2860" s="18"/>
      <c r="H2860" s="18"/>
      <c r="I2860" s="18"/>
      <c r="J2860" s="20" t="s">
        <v>289</v>
      </c>
      <c r="K2860" s="23">
        <f>+K2857*K2858/K2859</f>
        <v>131.11248971962618</v>
      </c>
      <c r="L2860" s="20" t="s">
        <v>8</v>
      </c>
      <c r="M2860" s="1146"/>
      <c r="N2860" s="125"/>
      <c r="O2860" s="1119"/>
      <c r="P2860"/>
      <c r="Q2860"/>
      <c r="R2860"/>
      <c r="S2860"/>
      <c r="T2860"/>
    </row>
    <row r="2861" spans="1:24" s="32" customFormat="1" ht="30" customHeight="1" thickBot="1">
      <c r="A2861" s="20"/>
      <c r="B2861" s="20"/>
      <c r="C2861" s="18"/>
      <c r="D2861" s="18"/>
      <c r="E2861" s="18"/>
      <c r="F2861" s="18"/>
      <c r="G2861" s="160" t="s">
        <v>312</v>
      </c>
      <c r="H2861" s="18"/>
      <c r="I2861" s="18"/>
      <c r="J2861" s="139">
        <f>VLOOKUP(B2853,'Mil Cost Premiums for RUCs'!$A$4:$R$266,18,FALSE)</f>
        <v>1.1651974763252515</v>
      </c>
      <c r="K2861" s="23">
        <f>+K2860*J2861</f>
        <v>152.77194213602891</v>
      </c>
      <c r="L2861" s="20" t="s">
        <v>8</v>
      </c>
      <c r="M2861" s="1146"/>
      <c r="N2861" s="125"/>
      <c r="O2861" s="1119"/>
      <c r="P2861"/>
      <c r="Q2861"/>
      <c r="R2861"/>
      <c r="S2861"/>
      <c r="T2861"/>
    </row>
    <row r="2862" spans="1:24" s="32" customFormat="1" ht="30" customHeight="1" thickBot="1">
      <c r="A2862" s="1165"/>
      <c r="B2862" s="1166"/>
      <c r="C2862" s="1166"/>
      <c r="D2862" s="1166"/>
      <c r="E2862" s="1166"/>
      <c r="F2862" s="1166"/>
      <c r="G2862" s="1166"/>
      <c r="H2862" s="1166"/>
      <c r="I2862" s="1166"/>
      <c r="J2862" s="1166"/>
      <c r="K2862" s="1166"/>
      <c r="L2862" s="1167"/>
      <c r="M2862" s="1146"/>
      <c r="N2862" s="25"/>
      <c r="O2862" s="1119"/>
      <c r="P2862"/>
      <c r="Q2862"/>
      <c r="R2862"/>
      <c r="S2862"/>
      <c r="T2862"/>
      <c r="U2862"/>
      <c r="V2862"/>
      <c r="W2862"/>
      <c r="X2862"/>
    </row>
    <row r="2863" spans="1:24" ht="30" customHeight="1">
      <c r="A2863" s="162" t="s">
        <v>280</v>
      </c>
      <c r="B2863" s="163">
        <v>7346</v>
      </c>
      <c r="C2863" s="1290" t="s">
        <v>1652</v>
      </c>
      <c r="D2863" s="1291"/>
      <c r="E2863" s="216" t="s">
        <v>282</v>
      </c>
      <c r="F2863" s="217" t="s">
        <v>8</v>
      </c>
      <c r="G2863" s="58" t="s">
        <v>290</v>
      </c>
      <c r="H2863" s="245">
        <v>17736</v>
      </c>
      <c r="I2863" s="216" t="s">
        <v>283</v>
      </c>
      <c r="J2863" s="1199" t="s">
        <v>2529</v>
      </c>
      <c r="K2863" s="1199"/>
      <c r="L2863" s="1200"/>
      <c r="M2863" s="1146"/>
      <c r="O2863"/>
      <c r="P2863" s="159"/>
      <c r="Q2863" s="147"/>
      <c r="R2863" s="149"/>
    </row>
    <row r="2864" spans="1:24" ht="30" customHeight="1">
      <c r="A2864" s="165" t="s">
        <v>304</v>
      </c>
      <c r="B2864" s="1324" t="s">
        <v>330</v>
      </c>
      <c r="C2864" s="1325"/>
      <c r="D2864" s="1326"/>
      <c r="E2864" s="219" t="s">
        <v>295</v>
      </c>
      <c r="F2864" s="219" t="s">
        <v>331</v>
      </c>
      <c r="G2864" s="1327" t="s">
        <v>332</v>
      </c>
      <c r="H2864" s="1328"/>
      <c r="I2864" s="167" t="s">
        <v>305</v>
      </c>
      <c r="J2864" s="167"/>
      <c r="K2864" s="1206" t="s">
        <v>297</v>
      </c>
      <c r="L2864" s="1207"/>
      <c r="M2864" s="1146"/>
      <c r="O2864"/>
      <c r="P2864" s="159"/>
      <c r="Q2864" s="147"/>
      <c r="R2864" s="149"/>
      <c r="T2864" s="38"/>
      <c r="U2864" s="38"/>
      <c r="V2864" s="38"/>
      <c r="W2864" s="38"/>
      <c r="X2864" s="38"/>
    </row>
    <row r="2865" spans="1:24" s="38" customFormat="1" ht="30" customHeight="1">
      <c r="A2865" s="658" t="s">
        <v>1638</v>
      </c>
      <c r="B2865" s="1182" t="s">
        <v>1653</v>
      </c>
      <c r="C2865" s="1183"/>
      <c r="D2865" s="1184"/>
      <c r="E2865" s="115">
        <v>80.34</v>
      </c>
      <c r="F2865" s="5" t="s">
        <v>8</v>
      </c>
      <c r="G2865" s="296"/>
      <c r="H2865" s="297"/>
      <c r="I2865" s="10">
        <v>1.05</v>
      </c>
      <c r="J2865" s="10"/>
      <c r="K2865" s="115">
        <f>+E2865*I2865</f>
        <v>84.357000000000014</v>
      </c>
      <c r="L2865" s="10" t="s">
        <v>8</v>
      </c>
      <c r="M2865" s="1146"/>
      <c r="N2865" s="193"/>
      <c r="P2865" s="159"/>
      <c r="Q2865" s="147"/>
      <c r="R2865" s="149"/>
      <c r="T2865"/>
      <c r="U2865"/>
      <c r="V2865"/>
      <c r="W2865"/>
      <c r="X2865"/>
    </row>
    <row r="2866" spans="1:24" ht="30" customHeight="1">
      <c r="A2866" s="659" t="s">
        <v>1416</v>
      </c>
      <c r="B2866" s="1182" t="s">
        <v>2756</v>
      </c>
      <c r="C2866" s="1183"/>
      <c r="D2866" s="1183"/>
      <c r="E2866" s="115">
        <v>2.99</v>
      </c>
      <c r="F2866" s="5" t="s">
        <v>8</v>
      </c>
      <c r="G2866" s="296"/>
      <c r="H2866" s="297"/>
      <c r="I2866" s="10">
        <v>1.05</v>
      </c>
      <c r="J2866" s="10"/>
      <c r="K2866" s="115">
        <f>+E2866*I2866</f>
        <v>3.1395000000000004</v>
      </c>
      <c r="L2866" s="10" t="s">
        <v>8</v>
      </c>
      <c r="M2866" s="1146"/>
      <c r="O2866"/>
      <c r="P2866" s="159"/>
      <c r="Q2866" s="147"/>
      <c r="R2866" s="149"/>
    </row>
    <row r="2867" spans="1:24" ht="30" customHeight="1">
      <c r="A2867" s="659" t="s">
        <v>395</v>
      </c>
      <c r="B2867" s="1182" t="s">
        <v>1654</v>
      </c>
      <c r="C2867" s="1183"/>
      <c r="D2867" s="1184"/>
      <c r="E2867" s="115">
        <f>+(19.15+29.75)/2</f>
        <v>24.45</v>
      </c>
      <c r="F2867" s="5" t="s">
        <v>1023</v>
      </c>
      <c r="G2867" s="676">
        <f>81*E2867*2/H2863</f>
        <v>0.2233254397834912</v>
      </c>
      <c r="H2867" s="297" t="s">
        <v>1573</v>
      </c>
      <c r="I2867" s="10">
        <v>1.06</v>
      </c>
      <c r="J2867" s="10"/>
      <c r="K2867" s="115">
        <f t="shared" ref="K2867:K2872" si="57">+G2867*I2867</f>
        <v>0.23672496617050068</v>
      </c>
      <c r="L2867" s="10" t="s">
        <v>8</v>
      </c>
      <c r="M2867" s="1146"/>
      <c r="O2867"/>
      <c r="P2867" s="159"/>
      <c r="Q2867" s="147"/>
      <c r="R2867" s="149"/>
    </row>
    <row r="2868" spans="1:24" ht="30" customHeight="1">
      <c r="A2868" s="659" t="s">
        <v>395</v>
      </c>
      <c r="B2868" s="1182" t="s">
        <v>1655</v>
      </c>
      <c r="C2868" s="1183"/>
      <c r="D2868" s="1184"/>
      <c r="E2868" s="115">
        <f>+(1610+2280)/2</f>
        <v>1945</v>
      </c>
      <c r="F2868" s="5" t="s">
        <v>1159</v>
      </c>
      <c r="G2868" s="676">
        <f>+E2868*2/H2863</f>
        <v>0.21932792061344158</v>
      </c>
      <c r="H2868" s="297" t="s">
        <v>1573</v>
      </c>
      <c r="I2868" s="10">
        <v>1.06</v>
      </c>
      <c r="J2868" s="10"/>
      <c r="K2868" s="115">
        <f t="shared" si="57"/>
        <v>0.23248759585024809</v>
      </c>
      <c r="L2868" s="10" t="s">
        <v>8</v>
      </c>
      <c r="M2868" s="1146"/>
      <c r="N2868" s="282"/>
      <c r="O2868" s="34"/>
      <c r="P2868" s="283"/>
      <c r="Q2868" s="282"/>
      <c r="R2868" s="284"/>
    </row>
    <row r="2869" spans="1:24" ht="30" customHeight="1">
      <c r="A2869" s="659" t="s">
        <v>398</v>
      </c>
      <c r="B2869" s="1182" t="s">
        <v>1656</v>
      </c>
      <c r="C2869" s="1183"/>
      <c r="D2869" s="1184"/>
      <c r="E2869" s="115">
        <f>(31.5+75)/2</f>
        <v>53.25</v>
      </c>
      <c r="F2869" s="5" t="s">
        <v>1576</v>
      </c>
      <c r="G2869" s="676">
        <f>10*E2869*2/H2863</f>
        <v>6.0047361299052776E-2</v>
      </c>
      <c r="H2869" s="297" t="s">
        <v>1573</v>
      </c>
      <c r="I2869" s="10">
        <v>1.04</v>
      </c>
      <c r="J2869" s="10"/>
      <c r="K2869" s="115">
        <f t="shared" si="57"/>
        <v>6.2449255751014891E-2</v>
      </c>
      <c r="L2869" s="10" t="s">
        <v>8</v>
      </c>
      <c r="M2869" s="1146"/>
      <c r="N2869" s="282"/>
      <c r="O2869" s="34"/>
      <c r="P2869" s="283"/>
      <c r="Q2869" s="282"/>
      <c r="R2869" s="284"/>
    </row>
    <row r="2870" spans="1:24" ht="30" customHeight="1">
      <c r="A2870" s="659" t="s">
        <v>398</v>
      </c>
      <c r="B2870" s="1182" t="s">
        <v>1026</v>
      </c>
      <c r="C2870" s="1183"/>
      <c r="D2870" s="1184"/>
      <c r="E2870" s="115">
        <f>+(5900+11300)/2</f>
        <v>8600</v>
      </c>
      <c r="F2870" s="5" t="s">
        <v>10</v>
      </c>
      <c r="G2870" s="676">
        <f>+E2870*2/H2863</f>
        <v>0.96977898060442036</v>
      </c>
      <c r="H2870" s="297" t="s">
        <v>1573</v>
      </c>
      <c r="I2870" s="10">
        <v>1.04</v>
      </c>
      <c r="J2870" s="10"/>
      <c r="K2870" s="115">
        <f t="shared" si="57"/>
        <v>1.0085701398285971</v>
      </c>
      <c r="L2870" s="10" t="s">
        <v>8</v>
      </c>
      <c r="M2870" s="1146"/>
      <c r="N2870" s="1103"/>
      <c r="O2870"/>
      <c r="P2870" s="148"/>
      <c r="Q2870" s="147"/>
      <c r="R2870" s="149"/>
    </row>
    <row r="2871" spans="1:24" ht="30" customHeight="1">
      <c r="A2871" s="659" t="s">
        <v>398</v>
      </c>
      <c r="B2871" s="1182" t="s">
        <v>1027</v>
      </c>
      <c r="C2871" s="1183"/>
      <c r="D2871" s="1184"/>
      <c r="E2871" s="115">
        <f>(605+925)/2</f>
        <v>765</v>
      </c>
      <c r="F2871" s="5" t="s">
        <v>10</v>
      </c>
      <c r="G2871" s="676">
        <f>+E2871*2/H2863</f>
        <v>8.6265223274695532E-2</v>
      </c>
      <c r="H2871" s="297" t="s">
        <v>1573</v>
      </c>
      <c r="I2871" s="10">
        <v>1.04</v>
      </c>
      <c r="J2871" s="10"/>
      <c r="K2871" s="115">
        <f t="shared" si="57"/>
        <v>8.9715832205683355E-2</v>
      </c>
      <c r="L2871" s="10" t="s">
        <v>8</v>
      </c>
      <c r="M2871" s="1146"/>
      <c r="N2871" s="1103"/>
      <c r="O2871"/>
      <c r="P2871" s="148"/>
      <c r="Q2871" s="147"/>
      <c r="R2871" s="149"/>
    </row>
    <row r="2872" spans="1:24" ht="30" customHeight="1">
      <c r="A2872" s="659" t="s">
        <v>398</v>
      </c>
      <c r="B2872" s="1182" t="s">
        <v>1028</v>
      </c>
      <c r="C2872" s="1183"/>
      <c r="D2872" s="1184"/>
      <c r="E2872" s="115">
        <f>(1060+3175)/2</f>
        <v>2117.5</v>
      </c>
      <c r="F2872" s="5" t="s">
        <v>10</v>
      </c>
      <c r="G2872" s="676">
        <f>+E2872*2/H2863</f>
        <v>0.23877988272440234</v>
      </c>
      <c r="H2872" s="297" t="s">
        <v>1573</v>
      </c>
      <c r="I2872" s="10">
        <v>1.04</v>
      </c>
      <c r="J2872" s="10"/>
      <c r="K2872" s="115">
        <f t="shared" si="57"/>
        <v>0.24833107803337845</v>
      </c>
      <c r="L2872" s="10" t="s">
        <v>8</v>
      </c>
      <c r="M2872" s="1146"/>
      <c r="N2872" s="1103"/>
      <c r="O2872"/>
      <c r="P2872" s="148"/>
      <c r="Q2872" s="147"/>
      <c r="R2872" s="149"/>
    </row>
    <row r="2873" spans="1:24" ht="30" customHeight="1">
      <c r="A2873" s="649"/>
      <c r="B2873" s="1329"/>
      <c r="C2873" s="1329"/>
      <c r="D2873" s="1329"/>
      <c r="E2873" s="115"/>
      <c r="F2873" s="10"/>
      <c r="G2873" s="494"/>
      <c r="H2873" s="10"/>
      <c r="I2873" s="10"/>
      <c r="J2873" s="10" t="s">
        <v>346</v>
      </c>
      <c r="K2873" s="115">
        <f>SUM(K2865:K2872)</f>
        <v>89.374778867839424</v>
      </c>
      <c r="L2873" s="10" t="s">
        <v>8</v>
      </c>
      <c r="M2873" s="1146"/>
      <c r="N2873" s="1103"/>
      <c r="O2873"/>
      <c r="P2873" s="148"/>
      <c r="Q2873" s="147"/>
      <c r="R2873" s="149"/>
      <c r="T2873" s="38"/>
      <c r="U2873" s="38"/>
      <c r="V2873" s="38"/>
      <c r="W2873" s="38"/>
      <c r="X2873" s="38"/>
    </row>
    <row r="2874" spans="1:24" s="38" customFormat="1" ht="30" customHeight="1">
      <c r="A2874" s="20"/>
      <c r="B2874" s="157"/>
      <c r="C2874" s="157"/>
      <c r="D2874" s="157"/>
      <c r="E2874" s="153"/>
      <c r="F2874" s="1174" t="s">
        <v>308</v>
      </c>
      <c r="G2874" s="1208" t="s">
        <v>309</v>
      </c>
      <c r="H2874" s="1208"/>
      <c r="I2874" s="1208"/>
      <c r="J2874" s="1208"/>
      <c r="K2874" s="123">
        <v>1.06</v>
      </c>
      <c r="L2874" s="10"/>
      <c r="M2874" s="1146"/>
      <c r="N2874" s="1103"/>
      <c r="P2874" s="148"/>
      <c r="Q2874" s="147"/>
      <c r="R2874" s="149"/>
      <c r="T2874"/>
      <c r="U2874"/>
      <c r="V2874"/>
      <c r="W2874"/>
      <c r="X2874"/>
    </row>
    <row r="2875" spans="1:24" ht="30" customHeight="1">
      <c r="A2875" s="20"/>
      <c r="B2875" s="157"/>
      <c r="C2875" s="157"/>
      <c r="D2875" s="157"/>
      <c r="E2875" s="153"/>
      <c r="F2875" s="1175"/>
      <c r="G2875" s="1209" t="s">
        <v>310</v>
      </c>
      <c r="H2875" s="1209"/>
      <c r="I2875" s="1209"/>
      <c r="J2875" s="1209"/>
      <c r="K2875" s="123">
        <v>1.07</v>
      </c>
      <c r="L2875" s="10"/>
      <c r="M2875" s="1146"/>
      <c r="N2875" s="1103"/>
      <c r="O2875"/>
      <c r="P2875" s="148"/>
      <c r="Q2875" s="147"/>
      <c r="R2875" s="149"/>
    </row>
    <row r="2876" spans="1:24" ht="30" customHeight="1">
      <c r="A2876" s="10"/>
      <c r="B2876" s="10"/>
      <c r="C2876" s="13"/>
      <c r="D2876" s="13"/>
      <c r="E2876" s="13"/>
      <c r="F2876" s="13"/>
      <c r="G2876" s="13"/>
      <c r="H2876" s="13"/>
      <c r="I2876" s="13"/>
      <c r="J2876" s="10" t="s">
        <v>289</v>
      </c>
      <c r="K2876" s="14">
        <f>+K2873*K2874/K2875</f>
        <v>88.539500560663356</v>
      </c>
      <c r="L2876" s="10" t="s">
        <v>8</v>
      </c>
      <c r="M2876" s="1146"/>
      <c r="N2876" s="1103"/>
      <c r="O2876" t="s">
        <v>1495</v>
      </c>
      <c r="P2876" s="148"/>
      <c r="Q2876" s="147"/>
      <c r="R2876" s="149"/>
    </row>
    <row r="2877" spans="1:24" ht="30" customHeight="1">
      <c r="A2877" s="10"/>
      <c r="B2877" s="10"/>
      <c r="C2877" s="13"/>
      <c r="D2877" s="13"/>
      <c r="E2877" s="13"/>
      <c r="F2877" s="13"/>
      <c r="G2877" s="1631" t="s">
        <v>385</v>
      </c>
      <c r="H2877" s="1632"/>
      <c r="I2877" s="1633"/>
      <c r="J2877" s="139">
        <f>VLOOKUP(B2863,'Mil Cost Premiums for RUCs'!$A$4:$R$266,18,FALSE)</f>
        <v>1.2146671166928804</v>
      </c>
      <c r="K2877" s="14">
        <f>+K2876*J2877</f>
        <v>107.54601985944863</v>
      </c>
      <c r="L2877" s="10" t="s">
        <v>8</v>
      </c>
      <c r="M2877" s="1146"/>
      <c r="N2877" s="282"/>
      <c r="O2877" s="34"/>
      <c r="P2877" s="283"/>
      <c r="Q2877" s="282"/>
      <c r="R2877" s="284"/>
    </row>
    <row r="2878" spans="1:24" ht="60" customHeight="1">
      <c r="A2878" s="1337" t="s">
        <v>313</v>
      </c>
      <c r="B2878" s="1338"/>
      <c r="C2878" s="1338"/>
      <c r="D2878" s="1338"/>
      <c r="E2878" s="1338"/>
      <c r="F2878" s="1338"/>
      <c r="G2878" s="1338"/>
      <c r="H2878" s="1338"/>
      <c r="I2878" s="1338"/>
      <c r="J2878" s="1338"/>
      <c r="K2878" s="1338"/>
      <c r="L2878" s="1339"/>
      <c r="M2878" s="1146"/>
      <c r="N2878" s="282"/>
      <c r="O2878" s="34"/>
      <c r="P2878" s="283"/>
      <c r="Q2878" s="282"/>
      <c r="R2878" s="284"/>
    </row>
    <row r="2879" spans="1:24" ht="45" customHeight="1">
      <c r="A2879" s="1406" t="s">
        <v>314</v>
      </c>
      <c r="B2879" s="1407"/>
      <c r="C2879" s="1408"/>
      <c r="D2879" s="1270" t="s">
        <v>2902</v>
      </c>
      <c r="E2879" s="1371"/>
      <c r="F2879" s="1371"/>
      <c r="G2879" s="1371"/>
      <c r="H2879" s="1371"/>
      <c r="I2879" s="1371"/>
      <c r="J2879" s="1371"/>
      <c r="K2879" s="1371"/>
      <c r="L2879" s="1372"/>
      <c r="M2879" s="1146"/>
      <c r="N2879" s="1103"/>
      <c r="O2879"/>
      <c r="P2879" s="148"/>
      <c r="Q2879" s="147"/>
      <c r="R2879" s="149"/>
    </row>
    <row r="2880" spans="1:24" ht="30" customHeight="1">
      <c r="A2880" s="1406" t="s">
        <v>316</v>
      </c>
      <c r="B2880" s="1407"/>
      <c r="C2880" s="1408"/>
      <c r="D2880" s="1270" t="s">
        <v>1633</v>
      </c>
      <c r="E2880" s="1371"/>
      <c r="F2880" s="1371"/>
      <c r="G2880" s="1371"/>
      <c r="H2880" s="1371"/>
      <c r="I2880" s="1371"/>
      <c r="J2880" s="1371"/>
      <c r="K2880" s="1371"/>
      <c r="L2880" s="1372"/>
      <c r="M2880" s="1146"/>
      <c r="N2880" s="1103"/>
      <c r="O2880"/>
      <c r="P2880" s="148"/>
      <c r="Q2880" s="147"/>
      <c r="R2880" s="149"/>
    </row>
    <row r="2881" spans="1:24" ht="30" customHeight="1">
      <c r="A2881" s="1406" t="s">
        <v>317</v>
      </c>
      <c r="B2881" s="1407"/>
      <c r="C2881" s="1408"/>
      <c r="D2881" s="1270" t="s">
        <v>1657</v>
      </c>
      <c r="E2881" s="1371"/>
      <c r="F2881" s="1371"/>
      <c r="G2881" s="1371"/>
      <c r="H2881" s="1371"/>
      <c r="I2881" s="1371"/>
      <c r="J2881" s="1371"/>
      <c r="K2881" s="1371"/>
      <c r="L2881" s="1372"/>
      <c r="M2881" s="1146"/>
      <c r="N2881" s="1103"/>
      <c r="O2881"/>
      <c r="P2881" s="148"/>
      <c r="Q2881" s="147"/>
      <c r="R2881" s="149"/>
    </row>
    <row r="2882" spans="1:24" ht="30" customHeight="1">
      <c r="A2882" s="1406" t="s">
        <v>318</v>
      </c>
      <c r="B2882" s="1407"/>
      <c r="C2882" s="1408"/>
      <c r="D2882" s="1270" t="s">
        <v>1658</v>
      </c>
      <c r="E2882" s="1371"/>
      <c r="F2882" s="1371"/>
      <c r="G2882" s="1371"/>
      <c r="H2882" s="1371"/>
      <c r="I2882" s="1371"/>
      <c r="J2882" s="1371"/>
      <c r="K2882" s="1371"/>
      <c r="L2882" s="1372"/>
      <c r="M2882" s="1146"/>
      <c r="N2882" s="1103"/>
      <c r="O2882"/>
      <c r="P2882" s="148"/>
      <c r="Q2882" s="147"/>
      <c r="R2882" s="149"/>
      <c r="T2882" s="38"/>
      <c r="U2882" s="38"/>
      <c r="V2882" s="38"/>
      <c r="W2882" s="38"/>
      <c r="X2882" s="38"/>
    </row>
    <row r="2883" spans="1:24" s="38" customFormat="1" ht="45" customHeight="1">
      <c r="A2883" s="1406" t="s">
        <v>320</v>
      </c>
      <c r="B2883" s="1407"/>
      <c r="C2883" s="1408"/>
      <c r="D2883" s="1270" t="s">
        <v>2757</v>
      </c>
      <c r="E2883" s="1371"/>
      <c r="F2883" s="1371"/>
      <c r="G2883" s="1371"/>
      <c r="H2883" s="1371"/>
      <c r="I2883" s="1371"/>
      <c r="J2883" s="1371"/>
      <c r="K2883" s="1371"/>
      <c r="L2883" s="1372"/>
      <c r="M2883" s="1146"/>
      <c r="N2883" s="1103"/>
      <c r="P2883" s="148"/>
      <c r="Q2883" s="147"/>
      <c r="R2883" s="149"/>
      <c r="T2883"/>
      <c r="U2883"/>
      <c r="V2883"/>
      <c r="W2883"/>
      <c r="X2883"/>
    </row>
    <row r="2884" spans="1:24" ht="30" customHeight="1">
      <c r="A2884" s="1406" t="s">
        <v>322</v>
      </c>
      <c r="B2884" s="1407"/>
      <c r="C2884" s="1408"/>
      <c r="D2884" s="1270" t="s">
        <v>1539</v>
      </c>
      <c r="E2884" s="1371"/>
      <c r="F2884" s="1371"/>
      <c r="G2884" s="1371"/>
      <c r="H2884" s="1371"/>
      <c r="I2884" s="1371"/>
      <c r="J2884" s="1371"/>
      <c r="K2884" s="1371"/>
      <c r="L2884" s="1372"/>
      <c r="M2884" s="1146"/>
      <c r="N2884" s="1103"/>
      <c r="O2884"/>
      <c r="P2884" s="148"/>
      <c r="Q2884" s="147"/>
      <c r="R2884" s="149"/>
    </row>
    <row r="2885" spans="1:24" ht="30" customHeight="1">
      <c r="A2885" s="1406" t="s">
        <v>324</v>
      </c>
      <c r="B2885" s="1407"/>
      <c r="C2885" s="1408"/>
      <c r="D2885" s="1270" t="s">
        <v>1659</v>
      </c>
      <c r="E2885" s="1371"/>
      <c r="F2885" s="1371"/>
      <c r="G2885" s="1371"/>
      <c r="H2885" s="1371"/>
      <c r="I2885" s="1371"/>
      <c r="J2885" s="1371"/>
      <c r="K2885" s="1371"/>
      <c r="L2885" s="1372"/>
      <c r="M2885" s="1146"/>
      <c r="N2885" s="282"/>
      <c r="O2885" s="34"/>
      <c r="P2885" s="283"/>
      <c r="Q2885" s="282"/>
      <c r="R2885" s="284"/>
    </row>
    <row r="2886" spans="1:24" ht="75" customHeight="1">
      <c r="A2886" s="1406" t="s">
        <v>325</v>
      </c>
      <c r="B2886" s="1407"/>
      <c r="C2886" s="1408"/>
      <c r="D2886" s="1270" t="s">
        <v>391</v>
      </c>
      <c r="E2886" s="1371"/>
      <c r="F2886" s="1371"/>
      <c r="G2886" s="1371"/>
      <c r="H2886" s="1371"/>
      <c r="I2886" s="1371"/>
      <c r="J2886" s="1371"/>
      <c r="K2886" s="1371"/>
      <c r="L2886" s="1372"/>
      <c r="M2886" s="1146"/>
      <c r="N2886" s="282"/>
      <c r="O2886" s="34"/>
      <c r="P2886" s="283"/>
      <c r="Q2886" s="282"/>
      <c r="R2886" s="284"/>
    </row>
    <row r="2887" spans="1:24" ht="30" customHeight="1" thickBot="1">
      <c r="A2887" s="1406" t="s">
        <v>327</v>
      </c>
      <c r="B2887" s="1407"/>
      <c r="C2887" s="1408"/>
      <c r="D2887" s="1270" t="s">
        <v>1660</v>
      </c>
      <c r="E2887" s="1371"/>
      <c r="F2887" s="1371"/>
      <c r="G2887" s="1371"/>
      <c r="H2887" s="1371"/>
      <c r="I2887" s="1371"/>
      <c r="J2887" s="1371"/>
      <c r="K2887" s="1371"/>
      <c r="L2887" s="1372"/>
      <c r="M2887" s="1146"/>
      <c r="N2887" s="1103"/>
      <c r="O2887"/>
      <c r="P2887" s="148"/>
      <c r="Q2887" s="147"/>
      <c r="R2887" s="149"/>
    </row>
    <row r="2888" spans="1:24" ht="30" customHeight="1" thickBot="1">
      <c r="A2888" s="1165"/>
      <c r="B2888" s="1166"/>
      <c r="C2888" s="1166"/>
      <c r="D2888" s="1166"/>
      <c r="E2888" s="1166"/>
      <c r="F2888" s="1166"/>
      <c r="G2888" s="1166"/>
      <c r="H2888" s="1166"/>
      <c r="I2888" s="1166"/>
      <c r="J2888" s="1166"/>
      <c r="K2888" s="1166"/>
      <c r="L2888" s="1167"/>
      <c r="M2888" s="1146"/>
      <c r="N2888" s="1103"/>
      <c r="O2888"/>
      <c r="P2888" s="159"/>
      <c r="Q2888" s="147"/>
      <c r="R2888" s="149"/>
    </row>
    <row r="2889" spans="1:24" ht="30" customHeight="1">
      <c r="A2889" s="81" t="s">
        <v>280</v>
      </c>
      <c r="B2889" s="82">
        <v>7347</v>
      </c>
      <c r="C2889" s="1197" t="s">
        <v>1661</v>
      </c>
      <c r="D2889" s="1198"/>
      <c r="E2889" s="74" t="s">
        <v>282</v>
      </c>
      <c r="F2889" s="75" t="s">
        <v>8</v>
      </c>
      <c r="G2889" s="58" t="s">
        <v>290</v>
      </c>
      <c r="H2889" s="76">
        <v>4036</v>
      </c>
      <c r="I2889" s="74" t="s">
        <v>283</v>
      </c>
      <c r="J2889" s="1199" t="s">
        <v>2529</v>
      </c>
      <c r="K2889" s="1199"/>
      <c r="L2889" s="1200"/>
      <c r="M2889" s="1146"/>
      <c r="N2889" s="1103"/>
      <c r="O2889"/>
      <c r="P2889" s="159"/>
      <c r="Q2889" s="147"/>
      <c r="R2889" s="149"/>
    </row>
    <row r="2890" spans="1:24" ht="30" customHeight="1">
      <c r="A2890" s="79" t="s">
        <v>304</v>
      </c>
      <c r="B2890" s="1201" t="s">
        <v>330</v>
      </c>
      <c r="C2890" s="1202"/>
      <c r="D2890" s="1203"/>
      <c r="E2890" s="150" t="s">
        <v>295</v>
      </c>
      <c r="F2890" s="150" t="s">
        <v>331</v>
      </c>
      <c r="G2890" s="1204" t="s">
        <v>332</v>
      </c>
      <c r="H2890" s="1205"/>
      <c r="I2890" s="77" t="s">
        <v>305</v>
      </c>
      <c r="J2890" s="77"/>
      <c r="K2890" s="1206" t="s">
        <v>297</v>
      </c>
      <c r="L2890" s="1207"/>
      <c r="M2890" s="1146"/>
      <c r="N2890" s="1103"/>
      <c r="O2890"/>
      <c r="P2890" s="159"/>
      <c r="Q2890" s="147"/>
      <c r="R2890" s="149"/>
      <c r="T2890" s="38"/>
      <c r="U2890" s="38"/>
      <c r="V2890" s="38"/>
      <c r="W2890" s="38"/>
      <c r="X2890" s="38"/>
    </row>
    <row r="2891" spans="1:24" s="38" customFormat="1" ht="30" customHeight="1">
      <c r="A2891" s="351" t="s">
        <v>1662</v>
      </c>
      <c r="B2891" s="1176" t="s">
        <v>2758</v>
      </c>
      <c r="C2891" s="1177"/>
      <c r="D2891" s="1178"/>
      <c r="E2891" s="153">
        <f>164.65-2.46</f>
        <v>162.19</v>
      </c>
      <c r="F2891" s="22" t="s">
        <v>8</v>
      </c>
      <c r="G2891" s="521"/>
      <c r="H2891" s="333"/>
      <c r="I2891" s="20">
        <v>1.07</v>
      </c>
      <c r="J2891" s="20"/>
      <c r="K2891" s="153">
        <f>+E2891*I2891</f>
        <v>173.54330000000002</v>
      </c>
      <c r="L2891" s="20" t="s">
        <v>8</v>
      </c>
      <c r="M2891" s="1146"/>
      <c r="N2891" s="1103"/>
      <c r="P2891" s="159"/>
      <c r="Q2891" s="147"/>
      <c r="R2891" s="149"/>
      <c r="T2891"/>
      <c r="U2891"/>
      <c r="V2891"/>
      <c r="W2891"/>
      <c r="X2891"/>
    </row>
    <row r="2892" spans="1:24" ht="30" customHeight="1">
      <c r="A2892" s="647" t="s">
        <v>418</v>
      </c>
      <c r="B2892" s="1179" t="s">
        <v>1110</v>
      </c>
      <c r="C2892" s="1180"/>
      <c r="D2892" s="1181"/>
      <c r="E2892" s="153">
        <v>4.1399999999999997</v>
      </c>
      <c r="F2892" s="22" t="s">
        <v>8</v>
      </c>
      <c r="G2892" s="521"/>
      <c r="H2892" s="333"/>
      <c r="I2892" s="20">
        <v>1.07</v>
      </c>
      <c r="J2892" s="20"/>
      <c r="K2892" s="153">
        <f>+E2892*I2892</f>
        <v>4.4298000000000002</v>
      </c>
      <c r="L2892" s="20" t="s">
        <v>8</v>
      </c>
      <c r="M2892" s="1146"/>
      <c r="N2892" s="1103"/>
      <c r="O2892"/>
      <c r="P2892" s="159"/>
      <c r="Q2892" s="147"/>
      <c r="R2892" s="149"/>
    </row>
    <row r="2893" spans="1:24" ht="30" customHeight="1">
      <c r="A2893" s="20"/>
      <c r="B2893" s="1267"/>
      <c r="C2893" s="1267"/>
      <c r="D2893" s="1267"/>
      <c r="E2893" s="153"/>
      <c r="F2893" s="20"/>
      <c r="G2893" s="206"/>
      <c r="H2893" s="20"/>
      <c r="I2893" s="20"/>
      <c r="J2893" s="20" t="s">
        <v>346</v>
      </c>
      <c r="K2893" s="153">
        <f>SUM(K2891:K2892)</f>
        <v>177.97310000000002</v>
      </c>
      <c r="L2893" s="20" t="s">
        <v>8</v>
      </c>
      <c r="M2893" s="1146"/>
      <c r="N2893" s="635"/>
      <c r="O2893"/>
      <c r="P2893" s="159"/>
      <c r="Q2893" s="147"/>
      <c r="R2893" s="149"/>
    </row>
    <row r="2894" spans="1:24" ht="30" customHeight="1">
      <c r="A2894" s="20"/>
      <c r="B2894" s="157"/>
      <c r="C2894" s="157"/>
      <c r="D2894" s="157"/>
      <c r="E2894" s="153"/>
      <c r="F2894" s="1174" t="s">
        <v>308</v>
      </c>
      <c r="G2894" s="1208" t="s">
        <v>309</v>
      </c>
      <c r="H2894" s="1208"/>
      <c r="I2894" s="1208"/>
      <c r="J2894" s="1208"/>
      <c r="K2894" s="123">
        <v>1.06</v>
      </c>
      <c r="L2894" s="10"/>
      <c r="M2894" s="1146"/>
      <c r="N2894" s="1103"/>
      <c r="O2894"/>
      <c r="P2894" s="159"/>
      <c r="Q2894" s="147"/>
      <c r="R2894" s="149"/>
    </row>
    <row r="2895" spans="1:24" ht="30" customHeight="1">
      <c r="A2895" s="20"/>
      <c r="B2895" s="157"/>
      <c r="C2895" s="157"/>
      <c r="D2895" s="157"/>
      <c r="E2895" s="153"/>
      <c r="F2895" s="1175"/>
      <c r="G2895" s="1209" t="s">
        <v>310</v>
      </c>
      <c r="H2895" s="1209"/>
      <c r="I2895" s="1209"/>
      <c r="J2895" s="1209"/>
      <c r="K2895" s="123">
        <v>1.07</v>
      </c>
      <c r="L2895" s="10"/>
      <c r="M2895" s="1146"/>
      <c r="N2895" s="282"/>
      <c r="O2895" s="34"/>
      <c r="P2895" s="283"/>
      <c r="Q2895" s="282"/>
      <c r="R2895" s="284"/>
    </row>
    <row r="2896" spans="1:24" ht="30" customHeight="1">
      <c r="A2896" s="20"/>
      <c r="B2896" s="20"/>
      <c r="C2896" s="18"/>
      <c r="D2896" s="18"/>
      <c r="E2896" s="18"/>
      <c r="F2896" s="18"/>
      <c r="G2896" s="18"/>
      <c r="H2896" s="18"/>
      <c r="I2896" s="18"/>
      <c r="J2896" s="20" t="s">
        <v>289</v>
      </c>
      <c r="K2896" s="23">
        <f>+K2893*K2894/K2895</f>
        <v>176.30980000000002</v>
      </c>
      <c r="L2896" s="20" t="s">
        <v>8</v>
      </c>
      <c r="M2896" s="1146"/>
      <c r="N2896" s="282"/>
      <c r="O2896" s="34"/>
      <c r="P2896" s="283"/>
      <c r="Q2896" s="282"/>
      <c r="R2896" s="284"/>
    </row>
    <row r="2897" spans="1:24" ht="30" customHeight="1" thickBot="1">
      <c r="A2897" s="20"/>
      <c r="B2897" s="20"/>
      <c r="C2897" s="18"/>
      <c r="D2897" s="18"/>
      <c r="E2897" s="18"/>
      <c r="F2897" s="18"/>
      <c r="G2897" s="160" t="s">
        <v>312</v>
      </c>
      <c r="H2897" s="18"/>
      <c r="I2897" s="18"/>
      <c r="J2897" s="139">
        <f>VLOOKUP(B2889,'Mil Cost Premiums for RUCs'!$A$4:$R$266,18,FALSE)</f>
        <v>1.3148549708569053</v>
      </c>
      <c r="K2897" s="23">
        <f>+K2896*J2897</f>
        <v>231.82181694078682</v>
      </c>
      <c r="L2897" s="20" t="s">
        <v>8</v>
      </c>
      <c r="M2897" s="1146"/>
      <c r="N2897" s="1103"/>
      <c r="O2897"/>
      <c r="P2897" s="159"/>
      <c r="Q2897" s="147"/>
      <c r="R2897" s="149"/>
    </row>
    <row r="2898" spans="1:24" ht="30" customHeight="1" thickBot="1">
      <c r="A2898" s="1165"/>
      <c r="B2898" s="1166"/>
      <c r="C2898" s="1166"/>
      <c r="D2898" s="1166"/>
      <c r="E2898" s="1166"/>
      <c r="F2898" s="1166"/>
      <c r="G2898" s="1166"/>
      <c r="H2898" s="1166"/>
      <c r="I2898" s="1166"/>
      <c r="J2898" s="1166"/>
      <c r="K2898" s="1166"/>
      <c r="L2898" s="1167"/>
      <c r="M2898" s="1146"/>
      <c r="N2898" s="1103"/>
      <c r="O2898"/>
      <c r="P2898" s="159"/>
      <c r="Q2898" s="147"/>
      <c r="R2898" s="149"/>
    </row>
    <row r="2899" spans="1:24" ht="30" customHeight="1">
      <c r="A2899" s="81" t="s">
        <v>280</v>
      </c>
      <c r="B2899" s="82">
        <v>7348</v>
      </c>
      <c r="C2899" s="1197" t="s">
        <v>1663</v>
      </c>
      <c r="D2899" s="1198"/>
      <c r="E2899" s="74" t="s">
        <v>282</v>
      </c>
      <c r="F2899" s="75" t="s">
        <v>8</v>
      </c>
      <c r="G2899" s="91" t="s">
        <v>1664</v>
      </c>
      <c r="H2899" s="76">
        <v>1869</v>
      </c>
      <c r="I2899" s="74" t="s">
        <v>283</v>
      </c>
      <c r="J2899" s="1199" t="s">
        <v>2529</v>
      </c>
      <c r="K2899" s="1199"/>
      <c r="L2899" s="1200"/>
      <c r="M2899" s="1146"/>
      <c r="N2899" s="1103"/>
      <c r="O2899"/>
      <c r="P2899" s="159"/>
      <c r="Q2899" s="147"/>
      <c r="R2899" s="149"/>
    </row>
    <row r="2900" spans="1:24" ht="30" customHeight="1">
      <c r="A2900" s="79" t="s">
        <v>304</v>
      </c>
      <c r="B2900" s="1201" t="s">
        <v>330</v>
      </c>
      <c r="C2900" s="1202"/>
      <c r="D2900" s="1203"/>
      <c r="E2900" s="150" t="s">
        <v>295</v>
      </c>
      <c r="F2900" s="150" t="s">
        <v>331</v>
      </c>
      <c r="G2900" s="1204" t="s">
        <v>332</v>
      </c>
      <c r="H2900" s="1205"/>
      <c r="I2900" s="77" t="s">
        <v>305</v>
      </c>
      <c r="J2900" s="77"/>
      <c r="K2900" s="1206" t="s">
        <v>297</v>
      </c>
      <c r="L2900" s="1207"/>
      <c r="M2900" s="1146"/>
      <c r="N2900" s="1103"/>
      <c r="O2900"/>
      <c r="P2900" s="159"/>
      <c r="Q2900" s="147"/>
      <c r="R2900" s="149"/>
      <c r="T2900" s="38"/>
      <c r="U2900" s="38"/>
      <c r="V2900" s="38"/>
      <c r="W2900" s="38"/>
      <c r="X2900" s="38"/>
    </row>
    <row r="2901" spans="1:24" s="38" customFormat="1" ht="30" customHeight="1">
      <c r="A2901" s="351" t="s">
        <v>1665</v>
      </c>
      <c r="B2901" s="1179" t="s">
        <v>1666</v>
      </c>
      <c r="C2901" s="1180"/>
      <c r="D2901" s="1181"/>
      <c r="E2901" s="153">
        <v>71.569999999999993</v>
      </c>
      <c r="F2901" s="22" t="s">
        <v>8</v>
      </c>
      <c r="G2901" s="521"/>
      <c r="H2901" s="333"/>
      <c r="I2901" s="20">
        <v>1.06</v>
      </c>
      <c r="J2901" s="20"/>
      <c r="K2901" s="153">
        <f>+E2901*I2901</f>
        <v>75.864199999999997</v>
      </c>
      <c r="L2901" s="20" t="s">
        <v>8</v>
      </c>
      <c r="M2901" s="1146"/>
      <c r="N2901" s="951"/>
      <c r="P2901" s="159"/>
      <c r="Q2901" s="147"/>
      <c r="R2901" s="149"/>
      <c r="T2901"/>
      <c r="U2901"/>
      <c r="V2901"/>
      <c r="W2901"/>
      <c r="X2901"/>
    </row>
    <row r="2902" spans="1:24" ht="30" customHeight="1">
      <c r="A2902" s="20"/>
      <c r="B2902" s="157"/>
      <c r="C2902" s="157"/>
      <c r="D2902" s="157"/>
      <c r="E2902" s="153"/>
      <c r="F2902" s="1174" t="s">
        <v>308</v>
      </c>
      <c r="G2902" s="1208" t="s">
        <v>309</v>
      </c>
      <c r="H2902" s="1208"/>
      <c r="I2902" s="1208"/>
      <c r="J2902" s="1208"/>
      <c r="K2902" s="123">
        <v>1.06</v>
      </c>
      <c r="L2902" s="10"/>
      <c r="M2902" s="1146"/>
      <c r="N2902" s="951"/>
      <c r="O2902"/>
      <c r="P2902" s="159"/>
      <c r="Q2902" s="147"/>
      <c r="R2902" s="149"/>
    </row>
    <row r="2903" spans="1:24" ht="30" customHeight="1">
      <c r="A2903" s="20"/>
      <c r="B2903" s="157"/>
      <c r="C2903" s="157"/>
      <c r="D2903" s="157"/>
      <c r="E2903" s="153"/>
      <c r="F2903" s="1175"/>
      <c r="G2903" s="1209" t="s">
        <v>310</v>
      </c>
      <c r="H2903" s="1209"/>
      <c r="I2903" s="1209"/>
      <c r="J2903" s="1209"/>
      <c r="K2903" s="123">
        <v>1.07</v>
      </c>
      <c r="L2903" s="10"/>
      <c r="M2903" s="1146"/>
      <c r="N2903" s="1103"/>
      <c r="O2903"/>
      <c r="P2903" s="159"/>
      <c r="Q2903" s="147"/>
      <c r="R2903" s="149"/>
    </row>
    <row r="2904" spans="1:24" ht="30" customHeight="1">
      <c r="A2904" s="20"/>
      <c r="B2904" s="20"/>
      <c r="C2904" s="18"/>
      <c r="D2904" s="18"/>
      <c r="E2904" s="18"/>
      <c r="F2904" s="18"/>
      <c r="G2904" s="18"/>
      <c r="H2904" s="18"/>
      <c r="I2904" s="18"/>
      <c r="J2904" s="20" t="s">
        <v>289</v>
      </c>
      <c r="K2904" s="23">
        <f>+K2901*K2902/K2903</f>
        <v>75.155188785046732</v>
      </c>
      <c r="L2904" s="20" t="s">
        <v>8</v>
      </c>
      <c r="M2904" s="1146"/>
      <c r="N2904" s="612"/>
      <c r="O2904"/>
      <c r="P2904" s="159"/>
      <c r="Q2904" s="147"/>
      <c r="R2904" s="149"/>
    </row>
    <row r="2905" spans="1:24" ht="30" customHeight="1" thickBot="1">
      <c r="A2905" s="20"/>
      <c r="B2905" s="20"/>
      <c r="C2905" s="18"/>
      <c r="D2905" s="18"/>
      <c r="E2905" s="18"/>
      <c r="F2905" s="18"/>
      <c r="G2905" s="160" t="s">
        <v>312</v>
      </c>
      <c r="H2905" s="18"/>
      <c r="I2905" s="18"/>
      <c r="J2905" s="139">
        <f>VLOOKUP(B2899,'Mil Cost Premiums for RUCs'!$A$4:$R$266,18,FALSE)</f>
        <v>1.1080418597902797</v>
      </c>
      <c r="K2905" s="23">
        <f>+K2904*J2905</f>
        <v>83.275095154272748</v>
      </c>
      <c r="L2905" s="20" t="s">
        <v>8</v>
      </c>
      <c r="M2905" s="1146"/>
      <c r="N2905" s="612"/>
      <c r="O2905" s="34"/>
      <c r="P2905" s="283"/>
      <c r="Q2905" s="282"/>
      <c r="R2905" s="284"/>
    </row>
    <row r="2906" spans="1:24" ht="30" customHeight="1" thickBot="1">
      <c r="A2906" s="1165"/>
      <c r="B2906" s="1166"/>
      <c r="C2906" s="1166"/>
      <c r="D2906" s="1166"/>
      <c r="E2906" s="1166"/>
      <c r="F2906" s="1166"/>
      <c r="G2906" s="1166"/>
      <c r="H2906" s="1166"/>
      <c r="I2906" s="1166"/>
      <c r="J2906" s="1166"/>
      <c r="K2906" s="1166"/>
      <c r="L2906" s="1167"/>
      <c r="M2906" s="1146"/>
      <c r="N2906" s="282"/>
      <c r="O2906" s="34"/>
      <c r="P2906" s="283"/>
      <c r="Q2906" s="282"/>
      <c r="R2906" s="284"/>
    </row>
    <row r="2907" spans="1:24" ht="30" customHeight="1">
      <c r="A2907" s="162" t="s">
        <v>280</v>
      </c>
      <c r="B2907" s="163">
        <v>7349</v>
      </c>
      <c r="C2907" s="1634" t="s">
        <v>1667</v>
      </c>
      <c r="D2907" s="1635"/>
      <c r="E2907" s="216" t="s">
        <v>282</v>
      </c>
      <c r="F2907" s="217" t="s">
        <v>8</v>
      </c>
      <c r="G2907" s="58" t="s">
        <v>290</v>
      </c>
      <c r="H2907" s="245">
        <v>61597</v>
      </c>
      <c r="I2907" s="216" t="s">
        <v>283</v>
      </c>
      <c r="J2907" s="1199" t="s">
        <v>2529</v>
      </c>
      <c r="K2907" s="1199"/>
      <c r="L2907" s="1200"/>
      <c r="M2907" s="1146"/>
      <c r="N2907" s="1103"/>
      <c r="O2907"/>
      <c r="P2907" s="159"/>
      <c r="Q2907" s="147"/>
      <c r="R2907" s="149"/>
    </row>
    <row r="2908" spans="1:24" ht="30" customHeight="1">
      <c r="A2908" s="165" t="s">
        <v>304</v>
      </c>
      <c r="B2908" s="1324" t="s">
        <v>330</v>
      </c>
      <c r="C2908" s="1325"/>
      <c r="D2908" s="1326"/>
      <c r="E2908" s="219" t="s">
        <v>295</v>
      </c>
      <c r="F2908" s="219" t="s">
        <v>331</v>
      </c>
      <c r="G2908" s="1327" t="s">
        <v>332</v>
      </c>
      <c r="H2908" s="1328"/>
      <c r="I2908" s="167" t="s">
        <v>305</v>
      </c>
      <c r="J2908" s="167"/>
      <c r="K2908" s="1206" t="s">
        <v>297</v>
      </c>
      <c r="L2908" s="1207"/>
      <c r="M2908" s="1146"/>
      <c r="N2908" s="1103"/>
      <c r="O2908"/>
      <c r="P2908" s="159"/>
      <c r="Q2908" s="147"/>
      <c r="R2908" s="149"/>
    </row>
    <row r="2909" spans="1:24" ht="30" customHeight="1">
      <c r="A2909" s="658" t="s">
        <v>1668</v>
      </c>
      <c r="B2909" s="1182" t="s">
        <v>1669</v>
      </c>
      <c r="C2909" s="1183"/>
      <c r="D2909" s="1184"/>
      <c r="E2909" s="115">
        <v>83.33</v>
      </c>
      <c r="F2909" s="5" t="s">
        <v>8</v>
      </c>
      <c r="G2909" s="672">
        <f>+E2909</f>
        <v>83.33</v>
      </c>
      <c r="H2909" s="297" t="s">
        <v>1573</v>
      </c>
      <c r="I2909" s="10">
        <v>1.05</v>
      </c>
      <c r="J2909" s="10"/>
      <c r="K2909" s="115">
        <f t="shared" ref="K2909:K2917" si="58">+G2909*I2909</f>
        <v>87.496499999999997</v>
      </c>
      <c r="L2909" s="10" t="s">
        <v>8</v>
      </c>
      <c r="M2909" s="1146"/>
      <c r="N2909" s="1103"/>
      <c r="O2909"/>
      <c r="P2909" s="159"/>
      <c r="Q2909" s="147"/>
      <c r="R2909" s="149"/>
    </row>
    <row r="2910" spans="1:24" ht="30" customHeight="1">
      <c r="A2910" s="658" t="s">
        <v>1627</v>
      </c>
      <c r="B2910" s="1182" t="s">
        <v>1670</v>
      </c>
      <c r="C2910" s="1183"/>
      <c r="D2910" s="1184"/>
      <c r="E2910" s="115">
        <v>50250</v>
      </c>
      <c r="F2910" s="5" t="s">
        <v>10</v>
      </c>
      <c r="G2910" s="672">
        <f>E2910/H2907</f>
        <v>0.81578648310794355</v>
      </c>
      <c r="H2910" s="297" t="s">
        <v>1573</v>
      </c>
      <c r="I2910" s="10">
        <v>1.05</v>
      </c>
      <c r="J2910" s="10"/>
      <c r="K2910" s="115">
        <f>G2910*I2910</f>
        <v>0.85657580726334082</v>
      </c>
      <c r="L2910" s="10" t="s">
        <v>8</v>
      </c>
      <c r="M2910" s="1146"/>
      <c r="N2910" s="981"/>
      <c r="O2910"/>
      <c r="P2910" s="159"/>
      <c r="Q2910" s="147"/>
      <c r="R2910" s="149"/>
      <c r="T2910" s="38"/>
      <c r="U2910" s="38"/>
      <c r="V2910" s="38"/>
      <c r="W2910" s="38"/>
      <c r="X2910" s="38"/>
    </row>
    <row r="2911" spans="1:24" s="38" customFormat="1" ht="30" customHeight="1">
      <c r="A2911" s="658" t="s">
        <v>395</v>
      </c>
      <c r="B2911" s="1182" t="s">
        <v>1671</v>
      </c>
      <c r="C2911" s="1183"/>
      <c r="D2911" s="1184"/>
      <c r="E2911" s="115">
        <f>(19.15+29.75)/2</f>
        <v>24.45</v>
      </c>
      <c r="F2911" s="5" t="s">
        <v>8</v>
      </c>
      <c r="G2911" s="670">
        <f>8*81*E2911/H2907</f>
        <v>0.25721382534863713</v>
      </c>
      <c r="H2911" s="297" t="s">
        <v>1573</v>
      </c>
      <c r="I2911" s="10">
        <v>1.06</v>
      </c>
      <c r="J2911" s="10"/>
      <c r="K2911" s="115">
        <f t="shared" si="58"/>
        <v>0.27264665486955536</v>
      </c>
      <c r="L2911" s="10" t="s">
        <v>8</v>
      </c>
      <c r="M2911" s="1146"/>
      <c r="N2911" s="981"/>
      <c r="P2911" s="159"/>
      <c r="Q2911" s="147"/>
      <c r="R2911" s="149"/>
      <c r="T2911"/>
      <c r="U2911"/>
      <c r="V2911"/>
      <c r="W2911"/>
      <c r="X2911"/>
    </row>
    <row r="2912" spans="1:24" ht="30" customHeight="1">
      <c r="A2912" s="658" t="s">
        <v>395</v>
      </c>
      <c r="B2912" s="1182" t="s">
        <v>1672</v>
      </c>
      <c r="C2912" s="1183"/>
      <c r="D2912" s="1184"/>
      <c r="E2912" s="115">
        <f>(1610+2280)/2</f>
        <v>1945</v>
      </c>
      <c r="F2912" s="5" t="s">
        <v>10</v>
      </c>
      <c r="G2912" s="670">
        <f>8*E2912/H2907</f>
        <v>0.25260970501810154</v>
      </c>
      <c r="H2912" s="297" t="s">
        <v>1573</v>
      </c>
      <c r="I2912" s="10">
        <v>1.06</v>
      </c>
      <c r="J2912" s="10"/>
      <c r="K2912" s="115">
        <f t="shared" si="58"/>
        <v>0.26776628731918767</v>
      </c>
      <c r="L2912" s="10" t="s">
        <v>8</v>
      </c>
      <c r="M2912" s="1146"/>
      <c r="N2912" s="1103"/>
      <c r="O2912"/>
      <c r="P2912" s="159"/>
      <c r="Q2912" s="147"/>
      <c r="R2912" s="149"/>
    </row>
    <row r="2913" spans="1:24" ht="30" customHeight="1">
      <c r="A2913" s="658" t="s">
        <v>398</v>
      </c>
      <c r="B2913" s="1182" t="s">
        <v>1673</v>
      </c>
      <c r="C2913" s="1183"/>
      <c r="D2913" s="1184"/>
      <c r="E2913" s="115">
        <f>(31.5+75)/2</f>
        <v>53.25</v>
      </c>
      <c r="F2913" s="5" t="s">
        <v>6</v>
      </c>
      <c r="G2913" s="670">
        <f>+E2913*10*8/H2907</f>
        <v>6.9159212299300291E-2</v>
      </c>
      <c r="H2913" s="297" t="s">
        <v>1573</v>
      </c>
      <c r="I2913" s="10">
        <v>1.04</v>
      </c>
      <c r="J2913" s="10"/>
      <c r="K2913" s="115">
        <f t="shared" si="58"/>
        <v>7.1925580791272301E-2</v>
      </c>
      <c r="L2913" s="10" t="s">
        <v>8</v>
      </c>
      <c r="M2913" s="1146"/>
      <c r="N2913" s="1103"/>
      <c r="O2913"/>
      <c r="P2913" s="159"/>
      <c r="Q2913" s="147"/>
      <c r="R2913" s="149"/>
    </row>
    <row r="2914" spans="1:24" ht="30" customHeight="1">
      <c r="A2914" s="658" t="s">
        <v>398</v>
      </c>
      <c r="B2914" s="1182" t="s">
        <v>401</v>
      </c>
      <c r="C2914" s="1183"/>
      <c r="D2914" s="1184"/>
      <c r="E2914" s="115">
        <f>(5900+11300)/2</f>
        <v>8600</v>
      </c>
      <c r="F2914" s="5" t="s">
        <v>10</v>
      </c>
      <c r="G2914" s="670">
        <f>+E2914*8/H2907</f>
        <v>1.1169375131905774</v>
      </c>
      <c r="H2914" s="297" t="s">
        <v>1573</v>
      </c>
      <c r="I2914" s="10">
        <v>1.04</v>
      </c>
      <c r="J2914" s="10"/>
      <c r="K2914" s="115">
        <f t="shared" si="58"/>
        <v>1.1616150137182006</v>
      </c>
      <c r="L2914" s="10" t="s">
        <v>8</v>
      </c>
      <c r="M2914" s="1146"/>
      <c r="N2914" s="1103"/>
      <c r="O2914"/>
      <c r="P2914" s="159"/>
      <c r="Q2914" s="147"/>
      <c r="R2914" s="149"/>
    </row>
    <row r="2915" spans="1:24" ht="30" customHeight="1">
      <c r="A2915" s="658" t="s">
        <v>398</v>
      </c>
      <c r="B2915" s="1182" t="s">
        <v>1018</v>
      </c>
      <c r="C2915" s="1183"/>
      <c r="D2915" s="1184"/>
      <c r="E2915" s="115">
        <f>+(605+925)/2</f>
        <v>765</v>
      </c>
      <c r="F2915" s="5" t="s">
        <v>10</v>
      </c>
      <c r="G2915" s="670">
        <f>+E2915*8/H2907</f>
        <v>9.9355488091952535E-2</v>
      </c>
      <c r="H2915" s="297" t="s">
        <v>1573</v>
      </c>
      <c r="I2915" s="10">
        <v>1.04</v>
      </c>
      <c r="J2915" s="10"/>
      <c r="K2915" s="115">
        <f t="shared" si="58"/>
        <v>0.10332970761563064</v>
      </c>
      <c r="L2915" s="10" t="s">
        <v>8</v>
      </c>
      <c r="M2915" s="1146"/>
      <c r="N2915" s="1103"/>
      <c r="O2915" s="34"/>
      <c r="P2915" s="283"/>
      <c r="Q2915" s="282"/>
      <c r="R2915" s="284"/>
      <c r="T2915" s="25"/>
      <c r="U2915" s="25"/>
      <c r="V2915" s="25"/>
      <c r="W2915" s="25"/>
      <c r="X2915" s="25"/>
    </row>
    <row r="2916" spans="1:24" s="25" customFormat="1" ht="30" customHeight="1">
      <c r="A2916" s="658" t="s">
        <v>398</v>
      </c>
      <c r="B2916" s="1182" t="s">
        <v>403</v>
      </c>
      <c r="C2916" s="1183"/>
      <c r="D2916" s="1184"/>
      <c r="E2916" s="115">
        <f>(1060+3175)/2</f>
        <v>2117.5</v>
      </c>
      <c r="F2916" s="5" t="s">
        <v>10</v>
      </c>
      <c r="G2916" s="670">
        <f>+E2916*8/H2907</f>
        <v>0.27501339350942416</v>
      </c>
      <c r="H2916" s="297" t="s">
        <v>1573</v>
      </c>
      <c r="I2916" s="10">
        <v>1.04</v>
      </c>
      <c r="J2916" s="10"/>
      <c r="K2916" s="115">
        <f t="shared" si="58"/>
        <v>0.28601392924980112</v>
      </c>
      <c r="L2916" s="10" t="s">
        <v>8</v>
      </c>
      <c r="M2916" s="1146"/>
      <c r="N2916" s="981"/>
      <c r="O2916" s="34"/>
      <c r="P2916" s="283"/>
      <c r="Q2916" s="282"/>
      <c r="R2916" s="284"/>
      <c r="T2916"/>
      <c r="U2916"/>
      <c r="V2916"/>
      <c r="W2916"/>
      <c r="X2916"/>
    </row>
    <row r="2917" spans="1:24" ht="30" customHeight="1">
      <c r="A2917" s="658" t="s">
        <v>1416</v>
      </c>
      <c r="B2917" s="1182" t="s">
        <v>1674</v>
      </c>
      <c r="C2917" s="1183"/>
      <c r="D2917" s="1184"/>
      <c r="E2917" s="115">
        <v>2.59</v>
      </c>
      <c r="F2917" s="5" t="s">
        <v>8</v>
      </c>
      <c r="G2917" s="670">
        <f>+E2917</f>
        <v>2.59</v>
      </c>
      <c r="H2917" s="297" t="s">
        <v>1573</v>
      </c>
      <c r="I2917" s="10">
        <v>1.05</v>
      </c>
      <c r="J2917" s="10"/>
      <c r="K2917" s="115">
        <f t="shared" si="58"/>
        <v>2.7195</v>
      </c>
      <c r="L2917" s="10" t="s">
        <v>8</v>
      </c>
      <c r="M2917" s="1146"/>
      <c r="N2917" s="981"/>
      <c r="O2917" s="34"/>
      <c r="P2917" s="283"/>
      <c r="Q2917" s="282"/>
      <c r="R2917" s="284"/>
    </row>
    <row r="2918" spans="1:24" ht="30" customHeight="1">
      <c r="A2918" s="658"/>
      <c r="B2918" s="1182"/>
      <c r="C2918" s="1183"/>
      <c r="D2918" s="1184"/>
      <c r="E2918" s="115"/>
      <c r="F2918" s="5"/>
      <c r="G2918" s="296"/>
      <c r="H2918" s="297"/>
      <c r="I2918" s="10"/>
      <c r="J2918" s="20" t="s">
        <v>346</v>
      </c>
      <c r="K2918" s="153">
        <f>SUM(K2909:K2917)</f>
        <v>93.235872980826997</v>
      </c>
      <c r="L2918" s="10"/>
      <c r="M2918" s="1146"/>
      <c r="N2918" s="1103"/>
      <c r="O2918"/>
      <c r="P2918" s="159"/>
      <c r="Q2918" s="147"/>
      <c r="R2918" s="149"/>
    </row>
    <row r="2919" spans="1:24" ht="30" customHeight="1">
      <c r="A2919" s="20"/>
      <c r="B2919" s="157"/>
      <c r="C2919" s="157"/>
      <c r="D2919" s="157"/>
      <c r="E2919" s="153"/>
      <c r="F2919" s="1174" t="s">
        <v>308</v>
      </c>
      <c r="G2919" s="1208" t="s">
        <v>309</v>
      </c>
      <c r="H2919" s="1208"/>
      <c r="I2919" s="1208"/>
      <c r="J2919" s="1208"/>
      <c r="K2919" s="123">
        <v>1.06</v>
      </c>
      <c r="L2919" s="10"/>
      <c r="M2919" s="1146"/>
      <c r="N2919" s="1103"/>
      <c r="O2919"/>
      <c r="P2919" s="159"/>
      <c r="Q2919" s="147"/>
      <c r="R2919" s="149"/>
    </row>
    <row r="2920" spans="1:24" ht="30" customHeight="1">
      <c r="A2920" s="20"/>
      <c r="B2920" s="157"/>
      <c r="C2920" s="157"/>
      <c r="D2920" s="157"/>
      <c r="E2920" s="153"/>
      <c r="F2920" s="1175"/>
      <c r="G2920" s="1209" t="s">
        <v>310</v>
      </c>
      <c r="H2920" s="1209"/>
      <c r="I2920" s="1209"/>
      <c r="J2920" s="1209"/>
      <c r="K2920" s="123">
        <v>1.07</v>
      </c>
      <c r="L2920" s="10"/>
      <c r="M2920" s="1146"/>
      <c r="N2920" s="951"/>
      <c r="O2920"/>
      <c r="P2920" s="159"/>
      <c r="Q2920" s="147"/>
      <c r="R2920" s="149"/>
    </row>
    <row r="2921" spans="1:24" ht="30" customHeight="1">
      <c r="A2921" s="24"/>
      <c r="B2921" s="24"/>
      <c r="C2921" s="47"/>
      <c r="D2921" s="47"/>
      <c r="E2921" s="47"/>
      <c r="F2921" s="47"/>
      <c r="G2921" s="47"/>
      <c r="H2921" s="47"/>
      <c r="I2921" s="47"/>
      <c r="J2921" s="24" t="s">
        <v>289</v>
      </c>
      <c r="K2921" s="17">
        <f>+K2918*K2919/K2920</f>
        <v>92.36450968194076</v>
      </c>
      <c r="L2921" s="24" t="s">
        <v>8</v>
      </c>
      <c r="M2921" s="1146"/>
      <c r="N2921" s="951"/>
      <c r="O2921"/>
      <c r="P2921" s="159"/>
      <c r="Q2921" s="147"/>
      <c r="R2921" s="149"/>
      <c r="T2921" s="38"/>
      <c r="U2921" s="38"/>
      <c r="V2921" s="38"/>
      <c r="W2921" s="38"/>
      <c r="X2921" s="38"/>
    </row>
    <row r="2922" spans="1:24" s="38" customFormat="1" ht="30" customHeight="1">
      <c r="A2922" s="47"/>
      <c r="B2922" s="47"/>
      <c r="C2922" s="47"/>
      <c r="D2922" s="47"/>
      <c r="E2922" s="47"/>
      <c r="F2922" s="47"/>
      <c r="G2922" s="176" t="s">
        <v>312</v>
      </c>
      <c r="H2922" s="47"/>
      <c r="I2922" s="47"/>
      <c r="J2922" s="178">
        <f>VLOOKUP(B2907,'Mil Cost Premiums for RUCs'!$A$4:$R$266,18,FALSE)</f>
        <v>1.2981950150858137</v>
      </c>
      <c r="K2922" s="17">
        <f>+K2921*J2922</f>
        <v>119.90714603994087</v>
      </c>
      <c r="L2922" s="10" t="s">
        <v>8</v>
      </c>
      <c r="M2922" s="1146"/>
      <c r="N2922" s="193"/>
      <c r="P2922" s="159"/>
      <c r="Q2922" s="147"/>
      <c r="R2922" s="149"/>
      <c r="T2922"/>
      <c r="U2922"/>
      <c r="V2922"/>
      <c r="W2922"/>
      <c r="X2922"/>
    </row>
    <row r="2923" spans="1:24" ht="60" customHeight="1">
      <c r="A2923" s="1337" t="s">
        <v>313</v>
      </c>
      <c r="B2923" s="1338"/>
      <c r="C2923" s="1338"/>
      <c r="D2923" s="1338"/>
      <c r="E2923" s="1338"/>
      <c r="F2923" s="1338"/>
      <c r="G2923" s="1338"/>
      <c r="H2923" s="1338"/>
      <c r="I2923" s="1338"/>
      <c r="J2923" s="1338"/>
      <c r="K2923" s="1338"/>
      <c r="L2923" s="1339"/>
      <c r="M2923" s="1146"/>
      <c r="O2923"/>
      <c r="P2923" s="159"/>
      <c r="Q2923" s="147"/>
      <c r="R2923" s="149"/>
    </row>
    <row r="2924" spans="1:24" ht="60" customHeight="1">
      <c r="A2924" s="1406" t="s">
        <v>314</v>
      </c>
      <c r="B2924" s="1407"/>
      <c r="C2924" s="1408"/>
      <c r="D2924" s="1270" t="s">
        <v>1675</v>
      </c>
      <c r="E2924" s="1371"/>
      <c r="F2924" s="1371"/>
      <c r="G2924" s="1371"/>
      <c r="H2924" s="1371"/>
      <c r="I2924" s="1371"/>
      <c r="J2924" s="1371"/>
      <c r="K2924" s="1371"/>
      <c r="L2924" s="1372"/>
      <c r="M2924" s="1146"/>
      <c r="N2924" s="1103"/>
      <c r="O2924"/>
      <c r="P2924" s="159"/>
      <c r="Q2924" s="147"/>
      <c r="R2924" s="149"/>
    </row>
    <row r="2925" spans="1:24" ht="30" customHeight="1">
      <c r="A2925" s="1406" t="s">
        <v>316</v>
      </c>
      <c r="B2925" s="1407"/>
      <c r="C2925" s="1408"/>
      <c r="D2925" s="1270" t="s">
        <v>1633</v>
      </c>
      <c r="E2925" s="1371"/>
      <c r="F2925" s="1371"/>
      <c r="G2925" s="1371"/>
      <c r="H2925" s="1371"/>
      <c r="I2925" s="1371"/>
      <c r="J2925" s="1371"/>
      <c r="K2925" s="1371"/>
      <c r="L2925" s="1372"/>
      <c r="M2925" s="1146"/>
      <c r="N2925" s="1103"/>
      <c r="O2925" s="34"/>
      <c r="P2925" s="283"/>
      <c r="Q2925" s="282"/>
      <c r="R2925" s="284"/>
    </row>
    <row r="2926" spans="1:24" ht="30" customHeight="1">
      <c r="A2926" s="1406" t="s">
        <v>317</v>
      </c>
      <c r="B2926" s="1407"/>
      <c r="C2926" s="1408"/>
      <c r="D2926" s="1626" t="s">
        <v>1676</v>
      </c>
      <c r="E2926" s="1627"/>
      <c r="F2926" s="1627"/>
      <c r="G2926" s="1627"/>
      <c r="H2926" s="1627"/>
      <c r="I2926" s="1627"/>
      <c r="J2926" s="1627"/>
      <c r="K2926" s="1627"/>
      <c r="L2926" s="1628"/>
      <c r="M2926" s="1146"/>
      <c r="N2926" s="981"/>
      <c r="O2926" s="34"/>
      <c r="P2926" s="283"/>
      <c r="Q2926" s="282"/>
      <c r="R2926" s="284"/>
    </row>
    <row r="2927" spans="1:24" ht="35.25" customHeight="1">
      <c r="A2927" s="1406" t="s">
        <v>318</v>
      </c>
      <c r="B2927" s="1407"/>
      <c r="C2927" s="1408"/>
      <c r="D2927" s="1270" t="s">
        <v>1677</v>
      </c>
      <c r="E2927" s="1371"/>
      <c r="F2927" s="1371"/>
      <c r="G2927" s="1371"/>
      <c r="H2927" s="1371"/>
      <c r="I2927" s="1371"/>
      <c r="J2927" s="1371"/>
      <c r="K2927" s="1371"/>
      <c r="L2927" s="1372"/>
      <c r="M2927" s="1146"/>
      <c r="N2927" s="981"/>
      <c r="O2927"/>
      <c r="P2927" s="159"/>
      <c r="Q2927" s="147"/>
      <c r="R2927" s="149"/>
      <c r="T2927" s="44"/>
      <c r="U2927" s="34"/>
    </row>
    <row r="2928" spans="1:24" ht="75" customHeight="1">
      <c r="A2928" s="1406" t="s">
        <v>320</v>
      </c>
      <c r="B2928" s="1407"/>
      <c r="C2928" s="1408"/>
      <c r="D2928" s="1270" t="s">
        <v>2760</v>
      </c>
      <c r="E2928" s="1371"/>
      <c r="F2928" s="1371"/>
      <c r="G2928" s="1371"/>
      <c r="H2928" s="1371"/>
      <c r="I2928" s="1371"/>
      <c r="J2928" s="1371"/>
      <c r="K2928" s="1371"/>
      <c r="L2928" s="1372"/>
      <c r="M2928" s="1146"/>
      <c r="N2928" s="1103"/>
      <c r="P2928" s="34"/>
      <c r="Q2928" s="34"/>
      <c r="R2928" s="34"/>
      <c r="S2928" s="44"/>
      <c r="T2928" s="44"/>
      <c r="U2928" s="34"/>
    </row>
    <row r="2929" spans="1:24" ht="30" customHeight="1">
      <c r="A2929" s="1406" t="s">
        <v>322</v>
      </c>
      <c r="B2929" s="1407"/>
      <c r="C2929" s="1408"/>
      <c r="D2929" s="1270" t="s">
        <v>1539</v>
      </c>
      <c r="E2929" s="1371"/>
      <c r="F2929" s="1371"/>
      <c r="G2929" s="1371"/>
      <c r="H2929" s="1371"/>
      <c r="I2929" s="1371"/>
      <c r="J2929" s="1371"/>
      <c r="K2929" s="1371"/>
      <c r="L2929" s="1372"/>
      <c r="M2929" s="1146"/>
      <c r="N2929" s="1103"/>
      <c r="P2929" s="34"/>
      <c r="Q2929" s="34"/>
      <c r="R2929" s="34"/>
      <c r="S2929" s="44"/>
      <c r="T2929" s="32"/>
      <c r="U2929" s="32"/>
      <c r="V2929" s="32"/>
      <c r="W2929" s="32"/>
      <c r="X2929" s="32"/>
    </row>
    <row r="2930" spans="1:24" s="32" customFormat="1" ht="30" customHeight="1">
      <c r="A2930" s="1406" t="s">
        <v>324</v>
      </c>
      <c r="B2930" s="1407"/>
      <c r="C2930" s="1408"/>
      <c r="D2930" s="1270" t="s">
        <v>1659</v>
      </c>
      <c r="E2930" s="1371"/>
      <c r="F2930" s="1371"/>
      <c r="G2930" s="1371"/>
      <c r="H2930" s="1371"/>
      <c r="I2930" s="1371"/>
      <c r="J2930" s="1371"/>
      <c r="K2930" s="1371"/>
      <c r="L2930" s="1372"/>
      <c r="M2930" s="1146"/>
      <c r="N2930" s="124"/>
      <c r="O2930" s="33"/>
      <c r="T2930" s="38"/>
      <c r="U2930" s="38"/>
      <c r="V2930" s="38"/>
      <c r="W2930" s="38"/>
      <c r="X2930" s="38"/>
    </row>
    <row r="2931" spans="1:24" s="38" customFormat="1" ht="75" customHeight="1">
      <c r="A2931" s="1406" t="s">
        <v>325</v>
      </c>
      <c r="B2931" s="1407"/>
      <c r="C2931" s="1408"/>
      <c r="D2931" s="1270" t="s">
        <v>391</v>
      </c>
      <c r="E2931" s="1371"/>
      <c r="F2931" s="1371"/>
      <c r="G2931" s="1371"/>
      <c r="H2931" s="1371"/>
      <c r="I2931" s="1371"/>
      <c r="J2931" s="1371"/>
      <c r="K2931" s="1371"/>
      <c r="L2931" s="1372"/>
      <c r="M2931" s="1146"/>
      <c r="N2931" s="193"/>
      <c r="O2931" s="1119"/>
      <c r="T2931"/>
      <c r="U2931"/>
      <c r="V2931"/>
      <c r="W2931"/>
      <c r="X2931"/>
    </row>
    <row r="2932" spans="1:24" ht="45" customHeight="1" thickBot="1">
      <c r="A2932" s="1406" t="s">
        <v>327</v>
      </c>
      <c r="B2932" s="1407"/>
      <c r="C2932" s="1408"/>
      <c r="D2932" s="1270" t="s">
        <v>2761</v>
      </c>
      <c r="E2932" s="1371"/>
      <c r="F2932" s="1371"/>
      <c r="G2932" s="1371"/>
      <c r="H2932" s="1371"/>
      <c r="I2932" s="1371"/>
      <c r="J2932" s="1371"/>
      <c r="K2932" s="1371"/>
      <c r="L2932" s="1372"/>
      <c r="M2932" s="1146"/>
      <c r="N2932" s="282"/>
      <c r="T2932" s="44"/>
      <c r="U2932" s="34"/>
    </row>
    <row r="2933" spans="1:24" ht="30" customHeight="1" thickBot="1">
      <c r="A2933" s="1165"/>
      <c r="B2933" s="1166"/>
      <c r="C2933" s="1166"/>
      <c r="D2933" s="1166"/>
      <c r="E2933" s="1166"/>
      <c r="F2933" s="1166"/>
      <c r="G2933" s="1166"/>
      <c r="H2933" s="1166"/>
      <c r="I2933" s="1166"/>
      <c r="J2933" s="1166"/>
      <c r="K2933" s="1166"/>
      <c r="L2933" s="1167"/>
      <c r="M2933" s="1146"/>
      <c r="N2933" s="282"/>
      <c r="P2933" s="34"/>
      <c r="Q2933" s="34"/>
      <c r="R2933" s="34"/>
      <c r="S2933" s="44"/>
      <c r="T2933" s="44"/>
      <c r="U2933" s="34"/>
    </row>
    <row r="2934" spans="1:24" ht="30" customHeight="1">
      <c r="A2934" s="1067" t="s">
        <v>280</v>
      </c>
      <c r="B2934" s="1068">
        <v>7350</v>
      </c>
      <c r="C2934" s="1197" t="s">
        <v>2874</v>
      </c>
      <c r="D2934" s="1198"/>
      <c r="E2934" s="74" t="s">
        <v>282</v>
      </c>
      <c r="F2934" s="75" t="s">
        <v>8</v>
      </c>
      <c r="G2934" s="91" t="s">
        <v>1664</v>
      </c>
      <c r="H2934" s="76">
        <v>1869</v>
      </c>
      <c r="I2934" s="74" t="s">
        <v>283</v>
      </c>
      <c r="J2934" s="1199" t="s">
        <v>2529</v>
      </c>
      <c r="K2934" s="1199"/>
      <c r="L2934" s="1200"/>
      <c r="M2934" s="1146"/>
      <c r="N2934" s="1103"/>
      <c r="P2934" s="34"/>
      <c r="Q2934" s="34"/>
      <c r="R2934" s="34"/>
      <c r="S2934" s="44"/>
      <c r="T2934" s="32"/>
      <c r="U2934" s="32"/>
      <c r="V2934" s="32"/>
      <c r="W2934" s="32"/>
      <c r="X2934" s="32"/>
    </row>
    <row r="2935" spans="1:24" s="32" customFormat="1" ht="30" customHeight="1">
      <c r="A2935" s="1064" t="s">
        <v>304</v>
      </c>
      <c r="B2935" s="1201" t="s">
        <v>330</v>
      </c>
      <c r="C2935" s="1202"/>
      <c r="D2935" s="1203"/>
      <c r="E2935" s="150" t="s">
        <v>295</v>
      </c>
      <c r="F2935" s="150" t="s">
        <v>331</v>
      </c>
      <c r="G2935" s="1204" t="s">
        <v>332</v>
      </c>
      <c r="H2935" s="1205"/>
      <c r="I2935" s="1066" t="s">
        <v>305</v>
      </c>
      <c r="J2935" s="1066"/>
      <c r="K2935" s="1206" t="s">
        <v>297</v>
      </c>
      <c r="L2935" s="1207"/>
      <c r="M2935" s="1146"/>
      <c r="N2935" s="1103"/>
      <c r="O2935" s="33"/>
      <c r="T2935" s="38"/>
      <c r="U2935" s="38"/>
      <c r="V2935" s="38"/>
      <c r="W2935" s="38"/>
      <c r="X2935" s="38"/>
    </row>
    <row r="2936" spans="1:24" s="38" customFormat="1" ht="30" customHeight="1">
      <c r="A2936" s="351" t="s">
        <v>1665</v>
      </c>
      <c r="B2936" s="1179" t="s">
        <v>1666</v>
      </c>
      <c r="C2936" s="1180"/>
      <c r="D2936" s="1181"/>
      <c r="E2936" s="153">
        <v>71.569999999999993</v>
      </c>
      <c r="F2936" s="22" t="s">
        <v>8</v>
      </c>
      <c r="G2936" s="1069"/>
      <c r="H2936" s="1070"/>
      <c r="I2936" s="20">
        <v>1.06</v>
      </c>
      <c r="J2936" s="20"/>
      <c r="K2936" s="153">
        <f>+E2936*I2936</f>
        <v>75.864199999999997</v>
      </c>
      <c r="L2936" s="20" t="s">
        <v>8</v>
      </c>
      <c r="M2936" s="1146"/>
      <c r="N2936" s="1103"/>
      <c r="O2936" s="1119"/>
      <c r="T2936"/>
      <c r="U2936"/>
      <c r="V2936"/>
      <c r="W2936"/>
      <c r="X2936"/>
    </row>
    <row r="2937" spans="1:24" ht="30" customHeight="1">
      <c r="A2937" s="20"/>
      <c r="B2937" s="1061"/>
      <c r="C2937" s="1061"/>
      <c r="D2937" s="1061"/>
      <c r="E2937" s="153"/>
      <c r="F2937" s="1174" t="s">
        <v>308</v>
      </c>
      <c r="G2937" s="1208" t="s">
        <v>309</v>
      </c>
      <c r="H2937" s="1208"/>
      <c r="I2937" s="1208"/>
      <c r="J2937" s="1208"/>
      <c r="K2937" s="123">
        <v>1.06</v>
      </c>
      <c r="L2937" s="10"/>
      <c r="M2937" s="1146"/>
      <c r="T2937" s="44"/>
      <c r="U2937" s="34"/>
    </row>
    <row r="2938" spans="1:24" ht="30" customHeight="1">
      <c r="A2938" s="20"/>
      <c r="B2938" s="1061"/>
      <c r="C2938" s="1061"/>
      <c r="D2938" s="1061"/>
      <c r="E2938" s="153"/>
      <c r="F2938" s="1175"/>
      <c r="G2938" s="1209" t="s">
        <v>310</v>
      </c>
      <c r="H2938" s="1209"/>
      <c r="I2938" s="1209"/>
      <c r="J2938" s="1209"/>
      <c r="K2938" s="123">
        <v>1.07</v>
      </c>
      <c r="L2938" s="10"/>
      <c r="M2938" s="1146"/>
      <c r="P2938" s="34"/>
      <c r="Q2938" s="34"/>
      <c r="R2938" s="34"/>
      <c r="S2938" s="44"/>
      <c r="T2938" s="44"/>
      <c r="U2938" s="34"/>
    </row>
    <row r="2939" spans="1:24" ht="30" customHeight="1">
      <c r="A2939" s="20"/>
      <c r="B2939" s="20"/>
      <c r="C2939" s="18"/>
      <c r="D2939" s="18"/>
      <c r="E2939" s="18"/>
      <c r="F2939" s="18"/>
      <c r="G2939" s="18"/>
      <c r="H2939" s="18"/>
      <c r="I2939" s="18"/>
      <c r="J2939" s="20" t="s">
        <v>289</v>
      </c>
      <c r="K2939" s="23">
        <f>+K2936*K2937/K2938</f>
        <v>75.155188785046732</v>
      </c>
      <c r="L2939" s="20" t="s">
        <v>8</v>
      </c>
      <c r="M2939" s="1146"/>
      <c r="P2939" s="34"/>
      <c r="Q2939" s="34"/>
      <c r="R2939" s="34"/>
      <c r="S2939" s="44"/>
      <c r="T2939" s="32"/>
      <c r="U2939" s="32"/>
      <c r="V2939" s="32"/>
      <c r="W2939" s="32"/>
      <c r="X2939" s="32"/>
    </row>
    <row r="2940" spans="1:24" s="32" customFormat="1" ht="30" customHeight="1" thickBot="1">
      <c r="A2940" s="20"/>
      <c r="B2940" s="20"/>
      <c r="C2940" s="18"/>
      <c r="D2940" s="18"/>
      <c r="E2940" s="18"/>
      <c r="F2940" s="18"/>
      <c r="G2940" s="160" t="s">
        <v>312</v>
      </c>
      <c r="H2940" s="18"/>
      <c r="I2940" s="18"/>
      <c r="J2940" s="889">
        <f>VLOOKUP(B2899,'Mil Cost Premiums for RUCs'!$A$4:$R$266,18,FALSE)</f>
        <v>1.1080418597902797</v>
      </c>
      <c r="K2940" s="23">
        <f>+K2939*J2940</f>
        <v>83.275095154272748</v>
      </c>
      <c r="L2940" s="20" t="s">
        <v>8</v>
      </c>
      <c r="M2940" s="1146"/>
      <c r="N2940" s="193"/>
      <c r="O2940" s="33"/>
      <c r="T2940" s="38"/>
      <c r="U2940" s="38"/>
      <c r="V2940" s="38"/>
      <c r="W2940" s="38"/>
      <c r="X2940" s="38"/>
    </row>
    <row r="2941" spans="1:24" s="38" customFormat="1" ht="30" customHeight="1" thickBot="1">
      <c r="A2941" s="1165"/>
      <c r="B2941" s="1166"/>
      <c r="C2941" s="1166"/>
      <c r="D2941" s="1166"/>
      <c r="E2941" s="1166"/>
      <c r="F2941" s="1166"/>
      <c r="G2941" s="1166"/>
      <c r="H2941" s="1166"/>
      <c r="I2941" s="1166"/>
      <c r="J2941" s="1166"/>
      <c r="K2941" s="1166"/>
      <c r="L2941" s="1167"/>
      <c r="M2941" s="1146"/>
      <c r="N2941" s="125"/>
      <c r="O2941" s="1119"/>
      <c r="T2941"/>
      <c r="U2941"/>
      <c r="V2941"/>
      <c r="W2941"/>
      <c r="X2941"/>
    </row>
    <row r="2942" spans="1:24" ht="30" customHeight="1">
      <c r="A2942" s="677" t="s">
        <v>280</v>
      </c>
      <c r="B2942" s="678">
        <v>7351</v>
      </c>
      <c r="C2942" s="1636" t="s">
        <v>1678</v>
      </c>
      <c r="D2942" s="1637"/>
      <c r="E2942" s="679" t="s">
        <v>282</v>
      </c>
      <c r="F2942" s="680" t="s">
        <v>8</v>
      </c>
      <c r="G2942" s="58" t="s">
        <v>290</v>
      </c>
      <c r="H2942" s="681">
        <v>14991</v>
      </c>
      <c r="I2942" s="216" t="s">
        <v>283</v>
      </c>
      <c r="J2942" s="1199" t="s">
        <v>2529</v>
      </c>
      <c r="K2942" s="1199"/>
      <c r="L2942" s="1200"/>
      <c r="M2942" s="1146"/>
      <c r="T2942" s="44"/>
      <c r="U2942" s="34"/>
    </row>
    <row r="2943" spans="1:24" ht="30" customHeight="1">
      <c r="A2943" s="682" t="s">
        <v>304</v>
      </c>
      <c r="B2943" s="1641" t="s">
        <v>330</v>
      </c>
      <c r="C2943" s="1642"/>
      <c r="D2943" s="1643"/>
      <c r="E2943" s="683" t="s">
        <v>295</v>
      </c>
      <c r="F2943" s="683" t="s">
        <v>331</v>
      </c>
      <c r="G2943" s="1644" t="s">
        <v>332</v>
      </c>
      <c r="H2943" s="1645"/>
      <c r="I2943" s="684" t="s">
        <v>1679</v>
      </c>
      <c r="J2943" s="684"/>
      <c r="K2943" s="1206" t="s">
        <v>297</v>
      </c>
      <c r="L2943" s="1207"/>
      <c r="M2943" s="1146"/>
      <c r="P2943" s="34"/>
      <c r="Q2943" s="34"/>
      <c r="R2943" s="34"/>
      <c r="S2943" s="44"/>
      <c r="T2943" s="44"/>
      <c r="U2943" s="34"/>
    </row>
    <row r="2944" spans="1:24" ht="30" customHeight="1">
      <c r="A2944" s="685" t="s">
        <v>1680</v>
      </c>
      <c r="B2944" s="1638" t="s">
        <v>1681</v>
      </c>
      <c r="C2944" s="1639"/>
      <c r="D2944" s="1640"/>
      <c r="E2944" s="686">
        <v>119</v>
      </c>
      <c r="F2944" s="687" t="s">
        <v>8</v>
      </c>
      <c r="G2944" s="688"/>
      <c r="H2944" s="689"/>
      <c r="I2944" s="690">
        <v>1.08</v>
      </c>
      <c r="J2944" s="690"/>
      <c r="K2944" s="686">
        <f>+E2944*I2944</f>
        <v>128.52000000000001</v>
      </c>
      <c r="L2944" s="690" t="s">
        <v>8</v>
      </c>
      <c r="M2944" s="1146"/>
      <c r="P2944" s="34"/>
      <c r="Q2944" s="34"/>
      <c r="R2944" s="34"/>
      <c r="S2944" s="44"/>
      <c r="T2944" s="32"/>
      <c r="U2944" s="32"/>
      <c r="V2944" s="32"/>
      <c r="W2944" s="32"/>
      <c r="X2944" s="32"/>
    </row>
    <row r="2945" spans="1:24" s="32" customFormat="1" ht="30" customHeight="1">
      <c r="A2945" s="691" t="s">
        <v>574</v>
      </c>
      <c r="B2945" s="1638" t="s">
        <v>2762</v>
      </c>
      <c r="C2945" s="1639"/>
      <c r="D2945" s="1640"/>
      <c r="E2945" s="686">
        <v>3.48</v>
      </c>
      <c r="F2945" s="690" t="s">
        <v>8</v>
      </c>
      <c r="G2945" s="692">
        <f>95/251</f>
        <v>0.37848605577689243</v>
      </c>
      <c r="H2945" s="690" t="s">
        <v>1683</v>
      </c>
      <c r="I2945" s="690">
        <v>1.08</v>
      </c>
      <c r="J2945" s="690"/>
      <c r="K2945" s="686">
        <f>+E2945*G2945*I2945</f>
        <v>1.4225019920318724</v>
      </c>
      <c r="L2945" s="690" t="s">
        <v>8</v>
      </c>
      <c r="M2945" s="1146"/>
      <c r="N2945" s="193"/>
      <c r="O2945" s="33"/>
      <c r="T2945" s="38"/>
      <c r="U2945" s="38"/>
      <c r="V2945" s="38"/>
      <c r="W2945" s="38"/>
      <c r="X2945" s="38"/>
    </row>
    <row r="2946" spans="1:24" s="38" customFormat="1" ht="30" customHeight="1">
      <c r="A2946" s="691" t="s">
        <v>1684</v>
      </c>
      <c r="B2946" s="1646" t="s">
        <v>1685</v>
      </c>
      <c r="C2946" s="1647"/>
      <c r="D2946" s="1648"/>
      <c r="E2946" s="686">
        <v>53750</v>
      </c>
      <c r="F2946" s="690" t="s">
        <v>10</v>
      </c>
      <c r="G2946" s="692">
        <f>+(E2946/H2942)*2</f>
        <v>7.170969248215596</v>
      </c>
      <c r="H2946" s="690" t="s">
        <v>1686</v>
      </c>
      <c r="I2946" s="690">
        <v>1.08</v>
      </c>
      <c r="J2946" s="690"/>
      <c r="K2946" s="686">
        <f>+G2946*I2946</f>
        <v>7.7446467880728438</v>
      </c>
      <c r="L2946" s="690" t="s">
        <v>8</v>
      </c>
      <c r="M2946" s="1146"/>
      <c r="N2946" s="125"/>
      <c r="O2946" s="1119"/>
      <c r="T2946"/>
      <c r="U2946"/>
      <c r="V2946"/>
      <c r="W2946"/>
      <c r="X2946"/>
    </row>
    <row r="2947" spans="1:24" ht="30" customHeight="1">
      <c r="A2947" s="690"/>
      <c r="B2947" s="1638"/>
      <c r="C2947" s="1639"/>
      <c r="D2947" s="1640"/>
      <c r="E2947" s="686"/>
      <c r="F2947" s="690"/>
      <c r="G2947" s="690"/>
      <c r="H2947" s="690"/>
      <c r="I2947" s="690"/>
      <c r="J2947" s="690"/>
      <c r="K2947" s="686">
        <f>SUM(K2944:K2946)</f>
        <v>137.68714878010474</v>
      </c>
      <c r="L2947" s="690" t="s">
        <v>8</v>
      </c>
      <c r="M2947" s="1146"/>
    </row>
    <row r="2948" spans="1:24" ht="30" customHeight="1">
      <c r="A2948" s="20"/>
      <c r="B2948" s="157"/>
      <c r="C2948" s="157"/>
      <c r="D2948" s="157"/>
      <c r="E2948" s="153"/>
      <c r="F2948" s="1174" t="s">
        <v>308</v>
      </c>
      <c r="G2948" s="1208" t="s">
        <v>309</v>
      </c>
      <c r="H2948" s="1208"/>
      <c r="I2948" s="1208"/>
      <c r="J2948" s="1208"/>
      <c r="K2948" s="123">
        <v>1.06</v>
      </c>
      <c r="L2948" s="10"/>
      <c r="M2948" s="1146"/>
      <c r="O2948"/>
      <c r="P2948" s="159"/>
      <c r="Q2948" s="147"/>
      <c r="R2948" s="149"/>
    </row>
    <row r="2949" spans="1:24" ht="30" customHeight="1">
      <c r="A2949" s="20"/>
      <c r="B2949" s="157"/>
      <c r="C2949" s="157"/>
      <c r="D2949" s="157"/>
      <c r="E2949" s="153"/>
      <c r="F2949" s="1175"/>
      <c r="G2949" s="1209" t="s">
        <v>310</v>
      </c>
      <c r="H2949" s="1209"/>
      <c r="I2949" s="1209"/>
      <c r="J2949" s="1209"/>
      <c r="K2949" s="123">
        <v>1.07</v>
      </c>
      <c r="L2949" s="10"/>
      <c r="M2949" s="1146"/>
      <c r="O2949"/>
      <c r="P2949" s="159"/>
      <c r="Q2949" s="147"/>
      <c r="R2949" s="149"/>
    </row>
    <row r="2950" spans="1:24" ht="30" customHeight="1">
      <c r="A2950" s="690"/>
      <c r="B2950" s="690"/>
      <c r="C2950" s="693"/>
      <c r="D2950" s="693"/>
      <c r="E2950" s="693"/>
      <c r="F2950" s="693"/>
      <c r="G2950" s="693"/>
      <c r="H2950" s="693"/>
      <c r="I2950" s="693"/>
      <c r="J2950" s="693" t="s">
        <v>289</v>
      </c>
      <c r="K2950" s="694">
        <f>+K2947*K2948/K2949</f>
        <v>136.40035299711312</v>
      </c>
      <c r="L2950" s="690" t="s">
        <v>8</v>
      </c>
      <c r="M2950" s="1146"/>
      <c r="N2950" s="193"/>
      <c r="O2950"/>
      <c r="P2950" s="159"/>
      <c r="Q2950" s="147"/>
      <c r="R2950" s="149"/>
      <c r="T2950" s="38"/>
      <c r="U2950" s="38"/>
      <c r="V2950" s="38"/>
      <c r="W2950" s="38"/>
      <c r="X2950" s="38"/>
    </row>
    <row r="2951" spans="1:24" s="38" customFormat="1" ht="30" customHeight="1">
      <c r="A2951" s="690"/>
      <c r="B2951" s="690"/>
      <c r="C2951" s="693"/>
      <c r="D2951" s="693"/>
      <c r="E2951" s="693"/>
      <c r="F2951" s="693"/>
      <c r="G2951" s="160" t="s">
        <v>312</v>
      </c>
      <c r="H2951" s="693"/>
      <c r="I2951" s="693"/>
      <c r="J2951" s="139">
        <f>VLOOKUP(B2942,'Mil Cost Premiums for RUCs'!$A$4:$R$266,18,FALSE)</f>
        <v>1.3319480854780448</v>
      </c>
      <c r="K2951" s="694">
        <f>+K2950*J2951</f>
        <v>181.6781890330343</v>
      </c>
      <c r="L2951" s="690" t="s">
        <v>8</v>
      </c>
      <c r="M2951" s="1146"/>
      <c r="N2951" s="125"/>
      <c r="P2951" s="159"/>
      <c r="Q2951" s="147"/>
      <c r="R2951" s="149"/>
      <c r="T2951"/>
      <c r="U2951"/>
      <c r="V2951"/>
      <c r="W2951"/>
      <c r="X2951"/>
    </row>
    <row r="2952" spans="1:24" ht="75" customHeight="1">
      <c r="A2952" s="1337" t="s">
        <v>2934</v>
      </c>
      <c r="B2952" s="1338"/>
      <c r="C2952" s="1338"/>
      <c r="D2952" s="1338"/>
      <c r="E2952" s="1338"/>
      <c r="F2952" s="1338"/>
      <c r="G2952" s="1338"/>
      <c r="H2952" s="1338"/>
      <c r="I2952" s="1338"/>
      <c r="J2952" s="1338"/>
      <c r="K2952" s="1338"/>
      <c r="L2952" s="1339"/>
      <c r="M2952" s="1146"/>
      <c r="O2952"/>
      <c r="P2952" s="159"/>
      <c r="Q2952" s="147"/>
      <c r="R2952" s="149"/>
    </row>
    <row r="2953" spans="1:24" ht="30" customHeight="1">
      <c r="A2953" s="1406" t="s">
        <v>314</v>
      </c>
      <c r="B2953" s="1407"/>
      <c r="C2953" s="1408"/>
      <c r="D2953" s="1270" t="s">
        <v>1687</v>
      </c>
      <c r="E2953" s="1371"/>
      <c r="F2953" s="1371"/>
      <c r="G2953" s="1371"/>
      <c r="H2953" s="1371"/>
      <c r="I2953" s="1371"/>
      <c r="J2953" s="1371"/>
      <c r="K2953" s="1371"/>
      <c r="L2953" s="1372"/>
      <c r="M2953" s="1146"/>
      <c r="O2953"/>
      <c r="P2953" s="159"/>
      <c r="Q2953" s="147"/>
      <c r="R2953" s="149"/>
    </row>
    <row r="2954" spans="1:24" ht="30" customHeight="1">
      <c r="A2954" s="1406" t="s">
        <v>316</v>
      </c>
      <c r="B2954" s="1407"/>
      <c r="C2954" s="1408"/>
      <c r="D2954" s="1270" t="s">
        <v>1688</v>
      </c>
      <c r="E2954" s="1371"/>
      <c r="F2954" s="1371"/>
      <c r="G2954" s="1371"/>
      <c r="H2954" s="1371"/>
      <c r="I2954" s="1371"/>
      <c r="J2954" s="1371"/>
      <c r="K2954" s="1371"/>
      <c r="L2954" s="1372"/>
      <c r="M2954" s="1146"/>
      <c r="N2954" s="951"/>
      <c r="O2954"/>
      <c r="P2954" s="159"/>
      <c r="Q2954" s="147"/>
      <c r="R2954" s="149"/>
    </row>
    <row r="2955" spans="1:24" ht="30" customHeight="1">
      <c r="A2955" s="1406" t="s">
        <v>317</v>
      </c>
      <c r="B2955" s="1407"/>
      <c r="C2955" s="1408"/>
      <c r="D2955" s="1270" t="s">
        <v>1689</v>
      </c>
      <c r="E2955" s="1371"/>
      <c r="F2955" s="1371"/>
      <c r="G2955" s="1371"/>
      <c r="H2955" s="1371"/>
      <c r="I2955" s="1371"/>
      <c r="J2955" s="1371"/>
      <c r="K2955" s="1371"/>
      <c r="L2955" s="1372"/>
      <c r="M2955" s="1146"/>
      <c r="N2955" s="193"/>
      <c r="O2955"/>
      <c r="P2955" s="159"/>
      <c r="Q2955" s="147"/>
      <c r="R2955" s="149"/>
    </row>
    <row r="2956" spans="1:24" ht="60" customHeight="1">
      <c r="A2956" s="1406" t="s">
        <v>318</v>
      </c>
      <c r="B2956" s="1407"/>
      <c r="C2956" s="1408"/>
      <c r="D2956" s="1270" t="s">
        <v>2765</v>
      </c>
      <c r="E2956" s="1371"/>
      <c r="F2956" s="1371"/>
      <c r="G2956" s="1371"/>
      <c r="H2956" s="1371"/>
      <c r="I2956" s="1371"/>
      <c r="J2956" s="1371"/>
      <c r="K2956" s="1371"/>
      <c r="L2956" s="1372"/>
      <c r="M2956" s="1146"/>
      <c r="N2956" s="125"/>
      <c r="O2956"/>
      <c r="P2956" s="159"/>
      <c r="Q2956" s="147"/>
      <c r="R2956" s="149"/>
    </row>
    <row r="2957" spans="1:24" ht="30" customHeight="1">
      <c r="A2957" s="1406" t="s">
        <v>320</v>
      </c>
      <c r="B2957" s="1407"/>
      <c r="C2957" s="1408"/>
      <c r="D2957" s="1270" t="s">
        <v>1690</v>
      </c>
      <c r="E2957" s="1371"/>
      <c r="F2957" s="1371"/>
      <c r="G2957" s="1371"/>
      <c r="H2957" s="1371"/>
      <c r="I2957" s="1371"/>
      <c r="J2957" s="1371"/>
      <c r="K2957" s="1371"/>
      <c r="L2957" s="1372"/>
      <c r="M2957" s="1146"/>
      <c r="O2957"/>
      <c r="P2957" s="159"/>
      <c r="Q2957" s="147"/>
      <c r="R2957" s="149"/>
    </row>
    <row r="2958" spans="1:24" ht="30" customHeight="1">
      <c r="A2958" s="1406" t="s">
        <v>322</v>
      </c>
      <c r="B2958" s="1407"/>
      <c r="C2958" s="1408"/>
      <c r="D2958" s="1270" t="s">
        <v>323</v>
      </c>
      <c r="E2958" s="1371"/>
      <c r="F2958" s="1371"/>
      <c r="G2958" s="1371"/>
      <c r="H2958" s="1371"/>
      <c r="I2958" s="1371"/>
      <c r="J2958" s="1371"/>
      <c r="K2958" s="1371"/>
      <c r="L2958" s="1372"/>
      <c r="M2958" s="1146"/>
      <c r="O2958"/>
      <c r="P2958" s="159"/>
      <c r="Q2958" s="147"/>
      <c r="R2958" s="149"/>
    </row>
    <row r="2959" spans="1:24" ht="30" customHeight="1">
      <c r="A2959" s="1406" t="s">
        <v>324</v>
      </c>
      <c r="B2959" s="1407"/>
      <c r="C2959" s="1408"/>
      <c r="D2959" s="1270" t="s">
        <v>1522</v>
      </c>
      <c r="E2959" s="1371"/>
      <c r="F2959" s="1371"/>
      <c r="G2959" s="1371"/>
      <c r="H2959" s="1371"/>
      <c r="I2959" s="1371"/>
      <c r="J2959" s="1371"/>
      <c r="K2959" s="1371"/>
      <c r="L2959" s="1372"/>
      <c r="M2959" s="1146"/>
      <c r="N2959" s="1103"/>
      <c r="O2959"/>
      <c r="P2959" s="159"/>
      <c r="Q2959" s="147"/>
      <c r="R2959" s="149"/>
    </row>
    <row r="2960" spans="1:24" ht="75" customHeight="1">
      <c r="A2960" s="1406" t="s">
        <v>325</v>
      </c>
      <c r="B2960" s="1407"/>
      <c r="C2960" s="1408"/>
      <c r="D2960" s="1270" t="s">
        <v>391</v>
      </c>
      <c r="E2960" s="1371"/>
      <c r="F2960" s="1371"/>
      <c r="G2960" s="1371"/>
      <c r="H2960" s="1371"/>
      <c r="I2960" s="1371"/>
      <c r="J2960" s="1371"/>
      <c r="K2960" s="1371"/>
      <c r="L2960" s="1372"/>
      <c r="M2960" s="1146"/>
      <c r="N2960" s="1103"/>
      <c r="O2960"/>
      <c r="P2960" s="159"/>
      <c r="Q2960" s="147"/>
      <c r="R2960" s="149"/>
    </row>
    <row r="2961" spans="1:24" ht="47.25" customHeight="1" thickBot="1">
      <c r="A2961" s="1406" t="s">
        <v>327</v>
      </c>
      <c r="B2961" s="1407"/>
      <c r="C2961" s="1408"/>
      <c r="D2961" s="1270" t="s">
        <v>1691</v>
      </c>
      <c r="E2961" s="1371"/>
      <c r="F2961" s="1371"/>
      <c r="G2961" s="1371"/>
      <c r="H2961" s="1371"/>
      <c r="I2961" s="1371"/>
      <c r="J2961" s="1371"/>
      <c r="K2961" s="1371"/>
      <c r="L2961" s="1372"/>
      <c r="M2961" s="1146"/>
      <c r="N2961" s="1103"/>
      <c r="O2961"/>
      <c r="P2961" s="159"/>
      <c r="Q2961" s="147"/>
      <c r="R2961" s="149"/>
    </row>
    <row r="2962" spans="1:24" ht="30" customHeight="1" thickBot="1">
      <c r="A2962" s="1165"/>
      <c r="B2962" s="1166"/>
      <c r="C2962" s="1166"/>
      <c r="D2962" s="1166"/>
      <c r="E2962" s="1166"/>
      <c r="F2962" s="1166"/>
      <c r="G2962" s="1166"/>
      <c r="H2962" s="1166"/>
      <c r="I2962" s="1166"/>
      <c r="J2962" s="1166"/>
      <c r="K2962" s="1166"/>
      <c r="L2962" s="1167"/>
      <c r="M2962" s="1146"/>
      <c r="N2962" s="1103"/>
      <c r="O2962" s="34"/>
      <c r="P2962" s="283"/>
      <c r="Q2962" s="282"/>
      <c r="R2962" s="284"/>
    </row>
    <row r="2963" spans="1:24" ht="30" customHeight="1">
      <c r="A2963" s="27" t="s">
        <v>280</v>
      </c>
      <c r="B2963" s="82">
        <v>7352</v>
      </c>
      <c r="C2963" s="1228" t="s">
        <v>2577</v>
      </c>
      <c r="D2963" s="1229"/>
      <c r="E2963" s="74" t="s">
        <v>282</v>
      </c>
      <c r="F2963" s="75" t="s">
        <v>8</v>
      </c>
      <c r="G2963" s="58" t="s">
        <v>290</v>
      </c>
      <c r="H2963" s="344">
        <v>30175</v>
      </c>
      <c r="I2963" s="74" t="s">
        <v>283</v>
      </c>
      <c r="J2963" s="1199" t="s">
        <v>2579</v>
      </c>
      <c r="K2963" s="1230"/>
      <c r="L2963" s="1231"/>
      <c r="M2963" s="1146"/>
      <c r="N2963" s="981"/>
      <c r="O2963" s="34"/>
      <c r="P2963" s="283"/>
      <c r="Q2963" s="282"/>
      <c r="R2963" s="284"/>
    </row>
    <row r="2964" spans="1:24" ht="30" customHeight="1">
      <c r="A2964" s="35" t="s">
        <v>293</v>
      </c>
      <c r="B2964" s="1232" t="s">
        <v>284</v>
      </c>
      <c r="C2964" s="1232"/>
      <c r="D2964" s="1232"/>
      <c r="E2964" s="78" t="s">
        <v>294</v>
      </c>
      <c r="F2964" s="96" t="s">
        <v>295</v>
      </c>
      <c r="G2964" s="1233"/>
      <c r="H2964" s="1234"/>
      <c r="I2964" s="1233" t="s">
        <v>426</v>
      </c>
      <c r="J2964" s="1234"/>
      <c r="K2964" s="1303" t="s">
        <v>1692</v>
      </c>
      <c r="L2964" s="1304"/>
      <c r="M2964" s="1146"/>
      <c r="N2964" s="981"/>
      <c r="O2964"/>
      <c r="P2964" s="159"/>
      <c r="Q2964" s="147"/>
      <c r="R2964" s="149"/>
    </row>
    <row r="2965" spans="1:24" ht="30" customHeight="1">
      <c r="A2965" s="48" t="s">
        <v>298</v>
      </c>
      <c r="B2965" s="1222" t="s">
        <v>2578</v>
      </c>
      <c r="C2965" s="1222"/>
      <c r="D2965" s="1222"/>
      <c r="E2965" s="98">
        <v>90000</v>
      </c>
      <c r="F2965" s="99">
        <v>358</v>
      </c>
      <c r="G2965" s="1649"/>
      <c r="H2965" s="1650"/>
      <c r="I2965" s="1651" t="s">
        <v>2562</v>
      </c>
      <c r="J2965" s="1652"/>
      <c r="K2965" s="99">
        <f>F2965</f>
        <v>358</v>
      </c>
      <c r="L2965" s="97" t="s">
        <v>8</v>
      </c>
      <c r="M2965" s="1146"/>
      <c r="N2965" s="1103"/>
      <c r="O2965"/>
      <c r="P2965" s="159"/>
      <c r="Q2965" s="147"/>
      <c r="R2965" s="149"/>
    </row>
    <row r="2966" spans="1:24" ht="30" customHeight="1">
      <c r="A2966" s="1008" t="s">
        <v>298</v>
      </c>
      <c r="B2966" s="1222" t="s">
        <v>2580</v>
      </c>
      <c r="C2966" s="1222"/>
      <c r="D2966" s="1222"/>
      <c r="E2966" s="98">
        <v>136000</v>
      </c>
      <c r="F2966" s="99">
        <v>282</v>
      </c>
      <c r="G2966" s="1649"/>
      <c r="H2966" s="1650"/>
      <c r="I2966" s="1651" t="s">
        <v>2562</v>
      </c>
      <c r="J2966" s="1652"/>
      <c r="K2966" s="99">
        <v>282</v>
      </c>
      <c r="L2966" s="97" t="s">
        <v>8</v>
      </c>
      <c r="M2966" s="1146"/>
      <c r="N2966" s="1103"/>
      <c r="O2966"/>
      <c r="P2966" s="159"/>
      <c r="Q2966" s="147"/>
      <c r="R2966" s="149"/>
    </row>
    <row r="2967" spans="1:24" ht="30" customHeight="1" thickBot="1">
      <c r="A2967" s="45"/>
      <c r="B2967" s="1224" t="s">
        <v>2581</v>
      </c>
      <c r="C2967" s="1224"/>
      <c r="D2967" s="1224"/>
      <c r="E2967" s="1225" t="s">
        <v>2916</v>
      </c>
      <c r="F2967" s="1226"/>
      <c r="G2967" s="1226"/>
      <c r="H2967" s="1227"/>
      <c r="I2967" s="18"/>
      <c r="J2967" s="79" t="s">
        <v>287</v>
      </c>
      <c r="K2967" s="103">
        <f>+K2965*0.52+K2966*0.48</f>
        <v>321.52</v>
      </c>
      <c r="L2967" s="20" t="s">
        <v>8</v>
      </c>
      <c r="M2967" s="1146"/>
      <c r="N2967" s="1103"/>
      <c r="O2967"/>
      <c r="P2967" s="159"/>
      <c r="Q2967" s="147"/>
      <c r="R2967" s="149"/>
    </row>
    <row r="2968" spans="1:24" ht="30" customHeight="1" thickBot="1">
      <c r="A2968" s="1165"/>
      <c r="B2968" s="1166"/>
      <c r="C2968" s="1166"/>
      <c r="D2968" s="1166"/>
      <c r="E2968" s="1166"/>
      <c r="F2968" s="1166"/>
      <c r="G2968" s="1166"/>
      <c r="H2968" s="1166"/>
      <c r="I2968" s="1166"/>
      <c r="J2968" s="1166"/>
      <c r="K2968" s="1166"/>
      <c r="L2968" s="1167"/>
      <c r="M2968" s="1146"/>
      <c r="N2968" s="1103"/>
      <c r="O2968"/>
      <c r="P2968" s="159"/>
      <c r="Q2968" s="147"/>
      <c r="R2968" s="149"/>
    </row>
    <row r="2969" spans="1:24" ht="30" customHeight="1">
      <c r="A2969" s="81" t="s">
        <v>280</v>
      </c>
      <c r="B2969" s="82">
        <v>7353</v>
      </c>
      <c r="C2969" s="1228" t="s">
        <v>1693</v>
      </c>
      <c r="D2969" s="1229"/>
      <c r="E2969" s="74" t="s">
        <v>282</v>
      </c>
      <c r="F2969" s="75" t="s">
        <v>8</v>
      </c>
      <c r="G2969" s="58" t="s">
        <v>290</v>
      </c>
      <c r="H2969" s="104">
        <v>6464</v>
      </c>
      <c r="I2969" s="74" t="s">
        <v>283</v>
      </c>
      <c r="J2969" s="1199" t="s">
        <v>2569</v>
      </c>
      <c r="K2969" s="1230"/>
      <c r="L2969" s="1231"/>
      <c r="M2969" s="1146"/>
      <c r="N2969" s="1103"/>
      <c r="O2969"/>
      <c r="P2969" s="159"/>
      <c r="Q2969" s="147"/>
      <c r="R2969" s="149"/>
    </row>
    <row r="2970" spans="1:24" ht="30" customHeight="1">
      <c r="A2970" s="77" t="s">
        <v>293</v>
      </c>
      <c r="B2970" s="1232" t="s">
        <v>284</v>
      </c>
      <c r="C2970" s="1232"/>
      <c r="D2970" s="1232"/>
      <c r="E2970" s="96" t="s">
        <v>295</v>
      </c>
      <c r="F2970" s="77" t="s">
        <v>294</v>
      </c>
      <c r="G2970" s="1365" t="s">
        <v>332</v>
      </c>
      <c r="H2970" s="1366"/>
      <c r="I2970" s="1233" t="s">
        <v>426</v>
      </c>
      <c r="J2970" s="1234"/>
      <c r="K2970" s="1206" t="s">
        <v>297</v>
      </c>
      <c r="L2970" s="1207"/>
      <c r="M2970" s="1146"/>
      <c r="N2970" s="1103"/>
      <c r="O2970"/>
      <c r="P2970" s="159"/>
      <c r="Q2970" s="147"/>
      <c r="R2970" s="149"/>
      <c r="T2970" s="44"/>
      <c r="U2970" s="34"/>
    </row>
    <row r="2971" spans="1:24" ht="30" customHeight="1">
      <c r="A2971" s="20">
        <v>73046</v>
      </c>
      <c r="B2971" s="1176" t="s">
        <v>2763</v>
      </c>
      <c r="C2971" s="1177"/>
      <c r="D2971" s="1178"/>
      <c r="E2971" s="153">
        <f>(380+299)/2</f>
        <v>339.5</v>
      </c>
      <c r="F2971" s="316">
        <v>90000</v>
      </c>
      <c r="G2971" s="286"/>
      <c r="H2971" s="286"/>
      <c r="I2971" s="1546">
        <f>+'2019 MILCON Inflation Table'!F18</f>
        <v>0.94232233454704462</v>
      </c>
      <c r="J2971" s="1547"/>
      <c r="K2971" s="106">
        <f>+E2971*I2971</f>
        <v>319.91843257872165</v>
      </c>
      <c r="L2971" s="97" t="s">
        <v>8</v>
      </c>
      <c r="M2971" s="1146"/>
      <c r="N2971" s="1103"/>
      <c r="P2971" s="34"/>
      <c r="Q2971" s="34"/>
      <c r="R2971" s="34"/>
      <c r="S2971" s="44"/>
      <c r="T2971" s="44"/>
      <c r="U2971" s="34"/>
    </row>
    <row r="2972" spans="1:24" ht="30" customHeight="1" thickBot="1">
      <c r="A2972" s="20"/>
      <c r="B2972" s="1179"/>
      <c r="C2972" s="1180"/>
      <c r="D2972" s="1181"/>
      <c r="E2972" s="181"/>
      <c r="F2972" s="338"/>
      <c r="G2972" s="181"/>
      <c r="H2972" s="339"/>
      <c r="I2972" s="18"/>
      <c r="J2972" s="79" t="s">
        <v>289</v>
      </c>
      <c r="K2972" s="107">
        <f>AVERAGE(K2971:K2971)</f>
        <v>319.91843257872165</v>
      </c>
      <c r="L2972" s="97" t="s">
        <v>8</v>
      </c>
      <c r="M2972" s="1146"/>
      <c r="N2972" s="1103"/>
      <c r="P2972" s="34"/>
      <c r="Q2972" s="34"/>
      <c r="R2972" s="34"/>
      <c r="S2972" s="44"/>
      <c r="T2972" s="32"/>
      <c r="U2972" s="32"/>
      <c r="V2972" s="32"/>
      <c r="W2972" s="32"/>
      <c r="X2972" s="32"/>
    </row>
    <row r="2973" spans="1:24" s="32" customFormat="1" ht="30" customHeight="1" thickBot="1">
      <c r="A2973" s="1165"/>
      <c r="B2973" s="1166"/>
      <c r="C2973" s="1166"/>
      <c r="D2973" s="1166"/>
      <c r="E2973" s="1166"/>
      <c r="F2973" s="1166"/>
      <c r="G2973" s="1166"/>
      <c r="H2973" s="1166"/>
      <c r="I2973" s="1166"/>
      <c r="J2973" s="1166"/>
      <c r="K2973" s="1166"/>
      <c r="L2973" s="1167"/>
      <c r="M2973" s="1146"/>
      <c r="N2973" s="124"/>
      <c r="O2973" s="33"/>
      <c r="T2973" s="38"/>
      <c r="U2973" s="38"/>
      <c r="V2973" s="38"/>
      <c r="W2973" s="38"/>
      <c r="X2973" s="38"/>
    </row>
    <row r="2974" spans="1:24" s="38" customFormat="1" ht="30" customHeight="1">
      <c r="A2974" s="81" t="s">
        <v>280</v>
      </c>
      <c r="B2974" s="82">
        <v>7361</v>
      </c>
      <c r="C2974" s="1215" t="s">
        <v>1696</v>
      </c>
      <c r="D2974" s="1216"/>
      <c r="E2974" s="74" t="s">
        <v>282</v>
      </c>
      <c r="F2974" s="75" t="s">
        <v>8</v>
      </c>
      <c r="G2974" s="58" t="s">
        <v>290</v>
      </c>
      <c r="H2974" s="104">
        <v>8883</v>
      </c>
      <c r="I2974" s="74" t="s">
        <v>283</v>
      </c>
      <c r="J2974" s="1199" t="s">
        <v>358</v>
      </c>
      <c r="K2974" s="1230"/>
      <c r="L2974" s="1231"/>
      <c r="M2974" s="1146"/>
      <c r="N2974" s="1103"/>
      <c r="O2974" s="1119"/>
      <c r="T2974"/>
      <c r="U2974"/>
      <c r="V2974"/>
      <c r="W2974"/>
      <c r="X2974"/>
    </row>
    <row r="2975" spans="1:24" ht="30" customHeight="1">
      <c r="A2975" s="77" t="s">
        <v>293</v>
      </c>
      <c r="B2975" s="1232" t="s">
        <v>284</v>
      </c>
      <c r="C2975" s="1232"/>
      <c r="D2975" s="1232"/>
      <c r="E2975" s="96" t="s">
        <v>295</v>
      </c>
      <c r="F2975" s="77" t="s">
        <v>294</v>
      </c>
      <c r="G2975" s="1365" t="s">
        <v>332</v>
      </c>
      <c r="H2975" s="1366"/>
      <c r="I2975" s="1233" t="s">
        <v>426</v>
      </c>
      <c r="J2975" s="1234"/>
      <c r="K2975" s="1206" t="s">
        <v>297</v>
      </c>
      <c r="L2975" s="1207"/>
      <c r="M2975" s="1146"/>
      <c r="T2975" s="44"/>
      <c r="U2975" s="34"/>
    </row>
    <row r="2976" spans="1:24" ht="30" customHeight="1">
      <c r="A2976" s="20">
        <v>73017</v>
      </c>
      <c r="B2976" s="1179" t="s">
        <v>1697</v>
      </c>
      <c r="C2976" s="1180"/>
      <c r="D2976" s="1181"/>
      <c r="E2976" s="153">
        <v>344</v>
      </c>
      <c r="F2976" s="316">
        <v>23000</v>
      </c>
      <c r="G2976" s="529"/>
      <c r="H2976" s="286"/>
      <c r="I2976" s="1546">
        <f>+'2019 MILCON Inflation Table'!$F$17</f>
        <v>0.96116878123798544</v>
      </c>
      <c r="J2976" s="1547"/>
      <c r="K2976" s="106">
        <f>+E2976*I2976</f>
        <v>330.64206074586701</v>
      </c>
      <c r="L2976" s="97" t="s">
        <v>8</v>
      </c>
      <c r="M2976" s="1146"/>
      <c r="N2976" s="1103"/>
      <c r="P2976" s="34"/>
      <c r="Q2976" s="34"/>
      <c r="R2976" s="34"/>
      <c r="S2976" s="44"/>
      <c r="T2976" s="44"/>
      <c r="U2976" s="34"/>
    </row>
    <row r="2977" spans="1:24" ht="30" customHeight="1" thickBot="1">
      <c r="A2977" s="20"/>
      <c r="B2977" s="1179"/>
      <c r="C2977" s="1180"/>
      <c r="D2977" s="1181"/>
      <c r="E2977" s="181"/>
      <c r="F2977" s="338"/>
      <c r="G2977" s="181"/>
      <c r="H2977" s="339"/>
      <c r="I2977" s="18"/>
      <c r="J2977" s="79" t="s">
        <v>289</v>
      </c>
      <c r="K2977" s="107">
        <f>SUM(K2976:K2976)</f>
        <v>330.64206074586701</v>
      </c>
      <c r="L2977" s="97" t="s">
        <v>8</v>
      </c>
      <c r="M2977" s="1146"/>
      <c r="N2977" s="1103"/>
      <c r="P2977" s="34"/>
      <c r="Q2977" s="34"/>
      <c r="R2977" s="34"/>
      <c r="S2977" s="44"/>
      <c r="T2977" s="32"/>
      <c r="U2977" s="32"/>
      <c r="V2977" s="32"/>
      <c r="W2977" s="32"/>
      <c r="X2977" s="32"/>
    </row>
    <row r="2978" spans="1:24" s="32" customFormat="1" ht="30" customHeight="1" thickBot="1">
      <c r="A2978" s="1165"/>
      <c r="B2978" s="1166"/>
      <c r="C2978" s="1166"/>
      <c r="D2978" s="1166"/>
      <c r="E2978" s="1166"/>
      <c r="F2978" s="1166"/>
      <c r="G2978" s="1166"/>
      <c r="H2978" s="1166"/>
      <c r="I2978" s="1166"/>
      <c r="J2978" s="1166"/>
      <c r="K2978" s="1166"/>
      <c r="L2978" s="1167"/>
      <c r="M2978" s="1146"/>
      <c r="N2978" s="1103"/>
      <c r="O2978" s="33"/>
    </row>
    <row r="2979" spans="1:24" s="32" customFormat="1" ht="30" customHeight="1">
      <c r="A2979" s="677" t="s">
        <v>280</v>
      </c>
      <c r="B2979" s="678">
        <v>7362</v>
      </c>
      <c r="C2979" s="1653" t="s">
        <v>1698</v>
      </c>
      <c r="D2979" s="1654"/>
      <c r="E2979" s="679" t="s">
        <v>282</v>
      </c>
      <c r="F2979" s="697" t="s">
        <v>8</v>
      </c>
      <c r="G2979" s="58" t="s">
        <v>290</v>
      </c>
      <c r="H2979" s="698">
        <v>6110</v>
      </c>
      <c r="I2979" s="679" t="s">
        <v>283</v>
      </c>
      <c r="J2979" s="1199" t="s">
        <v>2529</v>
      </c>
      <c r="K2979" s="1199"/>
      <c r="L2979" s="1200"/>
      <c r="M2979" s="1146"/>
      <c r="N2979" s="1103"/>
      <c r="O2979" s="33"/>
    </row>
    <row r="2980" spans="1:24" s="32" customFormat="1" ht="30" customHeight="1">
      <c r="A2980" s="682" t="s">
        <v>304</v>
      </c>
      <c r="B2980" s="1641" t="s">
        <v>330</v>
      </c>
      <c r="C2980" s="1642"/>
      <c r="D2980" s="1643"/>
      <c r="E2980" s="683" t="s">
        <v>295</v>
      </c>
      <c r="F2980" s="683" t="s">
        <v>331</v>
      </c>
      <c r="G2980" s="1644" t="s">
        <v>332</v>
      </c>
      <c r="H2980" s="1645"/>
      <c r="I2980" s="684" t="s">
        <v>1679</v>
      </c>
      <c r="J2980" s="684"/>
      <c r="K2980" s="1206" t="s">
        <v>297</v>
      </c>
      <c r="L2980" s="1207"/>
      <c r="M2980" s="1146"/>
      <c r="N2980" s="124"/>
      <c r="O2980" s="33"/>
      <c r="T2980" s="38"/>
      <c r="U2980" s="38"/>
      <c r="V2980" s="38"/>
      <c r="W2980" s="38"/>
      <c r="X2980" s="38"/>
    </row>
    <row r="2981" spans="1:24" s="38" customFormat="1" ht="30" customHeight="1">
      <c r="A2981" s="685" t="s">
        <v>1680</v>
      </c>
      <c r="B2981" s="1638" t="s">
        <v>1681</v>
      </c>
      <c r="C2981" s="1639"/>
      <c r="D2981" s="1640"/>
      <c r="E2981" s="686">
        <v>119</v>
      </c>
      <c r="F2981" s="687" t="s">
        <v>8</v>
      </c>
      <c r="G2981" s="688"/>
      <c r="H2981" s="689"/>
      <c r="I2981" s="690">
        <v>1.08</v>
      </c>
      <c r="J2981" s="690"/>
      <c r="K2981" s="686">
        <f>+E2981*I2981</f>
        <v>128.52000000000001</v>
      </c>
      <c r="L2981" s="690" t="s">
        <v>8</v>
      </c>
      <c r="M2981" s="1146"/>
      <c r="N2981" s="193"/>
      <c r="O2981" s="1119"/>
      <c r="T2981"/>
      <c r="U2981"/>
      <c r="V2981"/>
      <c r="W2981"/>
      <c r="X2981"/>
    </row>
    <row r="2982" spans="1:24" ht="30" customHeight="1">
      <c r="A2982" s="691" t="s">
        <v>574</v>
      </c>
      <c r="B2982" s="1638" t="s">
        <v>1699</v>
      </c>
      <c r="C2982" s="1639"/>
      <c r="D2982" s="1640"/>
      <c r="E2982" s="686">
        <v>4.1500000000000004</v>
      </c>
      <c r="F2982" s="690" t="s">
        <v>8</v>
      </c>
      <c r="G2982" s="692">
        <f>19/139</f>
        <v>0.1366906474820144</v>
      </c>
      <c r="H2982" s="690" t="s">
        <v>1683</v>
      </c>
      <c r="I2982" s="690">
        <v>1.08</v>
      </c>
      <c r="J2982" s="690"/>
      <c r="K2982" s="686">
        <f>+E2982*G2982*I2982</f>
        <v>0.61264748201438868</v>
      </c>
      <c r="L2982" s="690" t="s">
        <v>8</v>
      </c>
      <c r="M2982" s="1146"/>
    </row>
    <row r="2983" spans="1:24" ht="30" customHeight="1">
      <c r="A2983" s="690"/>
      <c r="B2983" s="1638"/>
      <c r="C2983" s="1639"/>
      <c r="D2983" s="1640"/>
      <c r="E2983" s="686"/>
      <c r="F2983" s="690"/>
      <c r="G2983" s="690"/>
      <c r="H2983" s="690"/>
      <c r="I2983" s="690"/>
      <c r="J2983" s="690" t="s">
        <v>346</v>
      </c>
      <c r="K2983" s="686">
        <f>SUM(K2981:K2982)</f>
        <v>129.13264748201439</v>
      </c>
      <c r="L2983" s="690" t="s">
        <v>8</v>
      </c>
      <c r="M2983" s="1146"/>
      <c r="N2983" s="193"/>
      <c r="O2983"/>
      <c r="P2983" s="159"/>
      <c r="Q2983" s="147"/>
      <c r="R2983" s="149"/>
    </row>
    <row r="2984" spans="1:24" ht="30" customHeight="1">
      <c r="A2984" s="20"/>
      <c r="B2984" s="157"/>
      <c r="C2984" s="157"/>
      <c r="D2984" s="157"/>
      <c r="E2984" s="153"/>
      <c r="F2984" s="1174" t="s">
        <v>308</v>
      </c>
      <c r="G2984" s="1208" t="s">
        <v>309</v>
      </c>
      <c r="H2984" s="1208"/>
      <c r="I2984" s="1208"/>
      <c r="J2984" s="1208"/>
      <c r="K2984" s="123">
        <v>1.06</v>
      </c>
      <c r="L2984" s="10"/>
      <c r="M2984" s="1146"/>
      <c r="N2984" s="125"/>
      <c r="O2984"/>
      <c r="P2984" s="159"/>
      <c r="Q2984" s="147"/>
      <c r="R2984" s="149"/>
    </row>
    <row r="2985" spans="1:24" ht="30" customHeight="1">
      <c r="A2985" s="20"/>
      <c r="B2985" s="157"/>
      <c r="C2985" s="157"/>
      <c r="D2985" s="157"/>
      <c r="E2985" s="153"/>
      <c r="F2985" s="1175"/>
      <c r="G2985" s="1209" t="s">
        <v>310</v>
      </c>
      <c r="H2985" s="1209"/>
      <c r="I2985" s="1209"/>
      <c r="J2985" s="1209"/>
      <c r="K2985" s="123">
        <v>1.07</v>
      </c>
      <c r="L2985" s="10"/>
      <c r="M2985" s="1146"/>
      <c r="O2985"/>
      <c r="P2985" s="159"/>
      <c r="Q2985" s="147"/>
      <c r="R2985" s="149"/>
      <c r="T2985" s="38"/>
      <c r="U2985" s="38"/>
      <c r="V2985" s="38"/>
      <c r="W2985" s="38"/>
      <c r="X2985" s="38"/>
    </row>
    <row r="2986" spans="1:24" s="38" customFormat="1" ht="30" customHeight="1">
      <c r="A2986" s="690"/>
      <c r="B2986" s="690"/>
      <c r="C2986" s="693"/>
      <c r="D2986" s="693"/>
      <c r="E2986" s="693"/>
      <c r="F2986" s="693"/>
      <c r="G2986" s="693"/>
      <c r="H2986" s="693"/>
      <c r="I2986" s="693"/>
      <c r="J2986" s="690" t="s">
        <v>289</v>
      </c>
      <c r="K2986" s="694">
        <f>+K2983*K2984/K2985</f>
        <v>127.92580030928528</v>
      </c>
      <c r="L2986" s="690" t="s">
        <v>8</v>
      </c>
      <c r="M2986" s="1146"/>
      <c r="N2986" s="526"/>
      <c r="P2986" s="159"/>
      <c r="Q2986" s="147"/>
      <c r="R2986" s="149"/>
      <c r="T2986"/>
      <c r="U2986"/>
      <c r="V2986"/>
      <c r="W2986"/>
      <c r="X2986"/>
    </row>
    <row r="2987" spans="1:24" ht="30" customHeight="1">
      <c r="A2987" s="690"/>
      <c r="B2987" s="690"/>
      <c r="C2987" s="693"/>
      <c r="D2987" s="693"/>
      <c r="E2987" s="693"/>
      <c r="F2987" s="693"/>
      <c r="G2987" s="226"/>
      <c r="H2987" s="693"/>
      <c r="I2987" s="699" t="s">
        <v>385</v>
      </c>
      <c r="J2987" s="139">
        <f>VLOOKUP(B2979,'Mil Cost Premiums for RUCs'!$A$4:$R$266,18,FALSE)</f>
        <v>1.3045524833281539</v>
      </c>
      <c r="K2987" s="694">
        <f>+K2986*J2987</f>
        <v>166.88592047521962</v>
      </c>
      <c r="L2987" s="690" t="s">
        <v>8</v>
      </c>
      <c r="M2987" s="1146"/>
      <c r="O2987"/>
      <c r="P2987" s="159"/>
      <c r="Q2987" s="147"/>
      <c r="R2987" s="149"/>
    </row>
    <row r="2988" spans="1:24" ht="60" customHeight="1">
      <c r="A2988" s="1336" t="s">
        <v>313</v>
      </c>
      <c r="B2988" s="1315"/>
      <c r="C2988" s="1315"/>
      <c r="D2988" s="1315"/>
      <c r="E2988" s="1315"/>
      <c r="F2988" s="1315"/>
      <c r="G2988" s="1315"/>
      <c r="H2988" s="1315"/>
      <c r="I2988" s="1315"/>
      <c r="J2988" s="1315"/>
      <c r="K2988" s="1315"/>
      <c r="L2988" s="1316"/>
      <c r="M2988" s="1146"/>
      <c r="O2988"/>
      <c r="P2988" s="159"/>
      <c r="Q2988" s="147"/>
      <c r="R2988" s="149"/>
    </row>
    <row r="2989" spans="1:24" ht="30" customHeight="1">
      <c r="A2989" s="1362" t="s">
        <v>314</v>
      </c>
      <c r="B2989" s="1363"/>
      <c r="C2989" s="1364"/>
      <c r="D2989" s="1270" t="s">
        <v>1700</v>
      </c>
      <c r="E2989" s="1371"/>
      <c r="F2989" s="1371"/>
      <c r="G2989" s="1371"/>
      <c r="H2989" s="1371"/>
      <c r="I2989" s="1371"/>
      <c r="J2989" s="1371"/>
      <c r="K2989" s="1371"/>
      <c r="L2989" s="1372"/>
      <c r="M2989" s="1146"/>
      <c r="O2989"/>
      <c r="P2989" s="159"/>
      <c r="Q2989" s="147"/>
      <c r="R2989" s="149"/>
    </row>
    <row r="2990" spans="1:24" ht="30" customHeight="1">
      <c r="A2990" s="1362" t="s">
        <v>316</v>
      </c>
      <c r="B2990" s="1363"/>
      <c r="C2990" s="1364"/>
      <c r="D2990" s="1270" t="s">
        <v>1701</v>
      </c>
      <c r="E2990" s="1371"/>
      <c r="F2990" s="1371"/>
      <c r="G2990" s="1371"/>
      <c r="H2990" s="1371"/>
      <c r="I2990" s="1371"/>
      <c r="J2990" s="1371"/>
      <c r="K2990" s="1371"/>
      <c r="L2990" s="1372"/>
      <c r="M2990" s="1146"/>
      <c r="O2990" s="34"/>
      <c r="P2990" s="283"/>
      <c r="Q2990" s="282"/>
      <c r="R2990" s="284"/>
    </row>
    <row r="2991" spans="1:24" ht="30" customHeight="1">
      <c r="A2991" s="1362" t="s">
        <v>317</v>
      </c>
      <c r="B2991" s="1363"/>
      <c r="C2991" s="1364"/>
      <c r="D2991" s="1270" t="s">
        <v>1702</v>
      </c>
      <c r="E2991" s="1371"/>
      <c r="F2991" s="1371"/>
      <c r="G2991" s="1371"/>
      <c r="H2991" s="1371"/>
      <c r="I2991" s="1371"/>
      <c r="J2991" s="1371"/>
      <c r="K2991" s="1371"/>
      <c r="L2991" s="1372"/>
      <c r="M2991" s="1146"/>
      <c r="N2991" s="125"/>
      <c r="O2991" s="34"/>
      <c r="P2991" s="283"/>
      <c r="Q2991" s="282"/>
      <c r="R2991" s="284"/>
    </row>
    <row r="2992" spans="1:24" ht="60" customHeight="1">
      <c r="A2992" s="1362" t="s">
        <v>318</v>
      </c>
      <c r="B2992" s="1363"/>
      <c r="C2992" s="1364"/>
      <c r="D2992" s="1270" t="s">
        <v>2764</v>
      </c>
      <c r="E2992" s="1371"/>
      <c r="F2992" s="1371"/>
      <c r="G2992" s="1371"/>
      <c r="H2992" s="1371"/>
      <c r="I2992" s="1371"/>
      <c r="J2992" s="1371"/>
      <c r="K2992" s="1371"/>
      <c r="L2992" s="1372"/>
      <c r="M2992" s="1146"/>
      <c r="O2992"/>
      <c r="P2992" s="159"/>
      <c r="Q2992" s="147"/>
      <c r="R2992" s="149"/>
    </row>
    <row r="2993" spans="1:24" ht="30" customHeight="1">
      <c r="A2993" s="1362" t="s">
        <v>320</v>
      </c>
      <c r="B2993" s="1363"/>
      <c r="C2993" s="1364"/>
      <c r="D2993" s="1270" t="s">
        <v>1703</v>
      </c>
      <c r="E2993" s="1371"/>
      <c r="F2993" s="1371"/>
      <c r="G2993" s="1371"/>
      <c r="H2993" s="1371"/>
      <c r="I2993" s="1371"/>
      <c r="J2993" s="1371"/>
      <c r="K2993" s="1371"/>
      <c r="L2993" s="1372"/>
      <c r="M2993" s="1146"/>
      <c r="O2993"/>
      <c r="P2993" s="159"/>
      <c r="Q2993" s="147"/>
      <c r="R2993" s="149"/>
    </row>
    <row r="2994" spans="1:24" ht="30" customHeight="1">
      <c r="A2994" s="1362" t="s">
        <v>322</v>
      </c>
      <c r="B2994" s="1363"/>
      <c r="C2994" s="1364"/>
      <c r="D2994" s="1270" t="s">
        <v>323</v>
      </c>
      <c r="E2994" s="1371"/>
      <c r="F2994" s="1371"/>
      <c r="G2994" s="1371"/>
      <c r="H2994" s="1371"/>
      <c r="I2994" s="1371"/>
      <c r="J2994" s="1371"/>
      <c r="K2994" s="1371"/>
      <c r="L2994" s="1372"/>
      <c r="M2994" s="1146"/>
      <c r="N2994" s="1103"/>
      <c r="O2994"/>
      <c r="P2994" s="159"/>
      <c r="Q2994" s="147"/>
      <c r="R2994" s="149"/>
    </row>
    <row r="2995" spans="1:24" ht="30" customHeight="1">
      <c r="A2995" s="1362" t="s">
        <v>324</v>
      </c>
      <c r="B2995" s="1363"/>
      <c r="C2995" s="1364"/>
      <c r="D2995" s="1270" t="s">
        <v>1704</v>
      </c>
      <c r="E2995" s="1371"/>
      <c r="F2995" s="1371"/>
      <c r="G2995" s="1371"/>
      <c r="H2995" s="1371"/>
      <c r="I2995" s="1371"/>
      <c r="J2995" s="1371"/>
      <c r="K2995" s="1371"/>
      <c r="L2995" s="1372"/>
      <c r="M2995" s="1146"/>
      <c r="N2995" s="1103"/>
      <c r="O2995"/>
      <c r="P2995" s="159"/>
      <c r="Q2995" s="147"/>
      <c r="R2995" s="149"/>
    </row>
    <row r="2996" spans="1:24" ht="75" customHeight="1">
      <c r="A2996" s="1362" t="s">
        <v>325</v>
      </c>
      <c r="B2996" s="1363"/>
      <c r="C2996" s="1364"/>
      <c r="D2996" s="1270" t="s">
        <v>391</v>
      </c>
      <c r="E2996" s="1371"/>
      <c r="F2996" s="1371"/>
      <c r="G2996" s="1371"/>
      <c r="H2996" s="1371"/>
      <c r="I2996" s="1371"/>
      <c r="J2996" s="1371"/>
      <c r="K2996" s="1371"/>
      <c r="L2996" s="1372"/>
      <c r="M2996" s="1146"/>
      <c r="N2996" s="1103"/>
      <c r="O2996"/>
      <c r="P2996" s="159"/>
      <c r="Q2996" s="147"/>
      <c r="R2996" s="149"/>
    </row>
    <row r="2997" spans="1:24" ht="45" customHeight="1" thickBot="1">
      <c r="A2997" s="1362" t="s">
        <v>327</v>
      </c>
      <c r="B2997" s="1363"/>
      <c r="C2997" s="1364"/>
      <c r="D2997" s="1270" t="s">
        <v>1691</v>
      </c>
      <c r="E2997" s="1371"/>
      <c r="F2997" s="1371"/>
      <c r="G2997" s="1371"/>
      <c r="H2997" s="1371"/>
      <c r="I2997" s="1371"/>
      <c r="J2997" s="1371"/>
      <c r="K2997" s="1371"/>
      <c r="L2997" s="1372"/>
      <c r="M2997" s="1146"/>
      <c r="N2997" s="55"/>
      <c r="O2997"/>
      <c r="P2997" s="159"/>
      <c r="Q2997" s="147"/>
      <c r="R2997" s="149"/>
    </row>
    <row r="2998" spans="1:24" ht="30" customHeight="1" thickBot="1">
      <c r="A2998" s="1165"/>
      <c r="B2998" s="1166"/>
      <c r="C2998" s="1166"/>
      <c r="D2998" s="1166"/>
      <c r="E2998" s="1166"/>
      <c r="F2998" s="1166"/>
      <c r="G2998" s="1166"/>
      <c r="H2998" s="1166"/>
      <c r="I2998" s="1166"/>
      <c r="J2998" s="1166"/>
      <c r="K2998" s="1166"/>
      <c r="L2998" s="1167"/>
      <c r="M2998" s="1146"/>
      <c r="N2998" s="55"/>
      <c r="O2998"/>
      <c r="P2998" s="159"/>
      <c r="Q2998" s="147"/>
      <c r="R2998" s="149"/>
    </row>
    <row r="2999" spans="1:24" ht="30" customHeight="1">
      <c r="A2999" s="81" t="s">
        <v>280</v>
      </c>
      <c r="B2999" s="82">
        <v>7371</v>
      </c>
      <c r="C2999" s="1215" t="s">
        <v>1705</v>
      </c>
      <c r="D2999" s="1216"/>
      <c r="E2999" s="74" t="s">
        <v>282</v>
      </c>
      <c r="F2999" s="75" t="s">
        <v>8</v>
      </c>
      <c r="G2999" s="58" t="s">
        <v>290</v>
      </c>
      <c r="H2999" s="104">
        <v>12393</v>
      </c>
      <c r="I2999" s="74" t="s">
        <v>283</v>
      </c>
      <c r="J2999" s="1199" t="s">
        <v>437</v>
      </c>
      <c r="K2999" s="1230"/>
      <c r="L2999" s="1231"/>
      <c r="M2999" s="1146"/>
      <c r="N2999" s="55"/>
      <c r="O2999"/>
      <c r="P2999" s="159"/>
      <c r="Q2999" s="147"/>
      <c r="R2999" s="149"/>
    </row>
    <row r="3000" spans="1:24" ht="30" customHeight="1">
      <c r="A3000" s="77" t="s">
        <v>293</v>
      </c>
      <c r="B3000" s="1232" t="s">
        <v>284</v>
      </c>
      <c r="C3000" s="1232"/>
      <c r="D3000" s="1232"/>
      <c r="E3000" s="96" t="s">
        <v>295</v>
      </c>
      <c r="F3000" s="77" t="s">
        <v>294</v>
      </c>
      <c r="G3000" s="1365" t="s">
        <v>332</v>
      </c>
      <c r="H3000" s="1366"/>
      <c r="I3000" s="1233" t="s">
        <v>426</v>
      </c>
      <c r="J3000" s="1234"/>
      <c r="K3000" s="1206" t="s">
        <v>297</v>
      </c>
      <c r="L3000" s="1207"/>
      <c r="M3000" s="1146"/>
      <c r="N3000" s="55"/>
      <c r="O3000"/>
      <c r="P3000" s="159"/>
      <c r="Q3000" s="147"/>
      <c r="R3000" s="149"/>
    </row>
    <row r="3001" spans="1:24" ht="30" customHeight="1">
      <c r="A3001" s="20">
        <v>74017</v>
      </c>
      <c r="B3001" s="1179" t="s">
        <v>2903</v>
      </c>
      <c r="C3001" s="1180"/>
      <c r="D3001" s="1181"/>
      <c r="E3001" s="153">
        <v>241</v>
      </c>
      <c r="F3001" s="316">
        <v>23000</v>
      </c>
      <c r="G3001" s="529"/>
      <c r="H3001" s="286"/>
      <c r="I3001" s="1546">
        <f>+'2019 MILCON Inflation Table'!$F$16</f>
        <v>0.98039215686274506</v>
      </c>
      <c r="J3001" s="1547"/>
      <c r="K3001" s="106">
        <f>+E3001*I3001</f>
        <v>236.27450980392155</v>
      </c>
      <c r="L3001" s="97" t="s">
        <v>8</v>
      </c>
      <c r="M3001" s="1146"/>
      <c r="N3001" s="1103"/>
      <c r="O3001"/>
      <c r="P3001" s="159"/>
      <c r="Q3001" s="147"/>
      <c r="R3001" s="149"/>
    </row>
    <row r="3002" spans="1:24" ht="30" customHeight="1" thickBot="1">
      <c r="A3002" s="20"/>
      <c r="B3002" s="1179"/>
      <c r="C3002" s="1180"/>
      <c r="D3002" s="1181"/>
      <c r="E3002" s="181"/>
      <c r="F3002" s="338"/>
      <c r="G3002" s="181"/>
      <c r="H3002" s="339"/>
      <c r="I3002" s="18"/>
      <c r="J3002" s="79" t="s">
        <v>289</v>
      </c>
      <c r="K3002" s="107">
        <f>SUM(K3001:K3001)</f>
        <v>236.27450980392155</v>
      </c>
      <c r="L3002" s="97" t="s">
        <v>8</v>
      </c>
      <c r="M3002" s="1146"/>
      <c r="N3002" s="1103"/>
      <c r="O3002"/>
      <c r="P3002" s="159"/>
      <c r="Q3002" s="147"/>
      <c r="R3002" s="149"/>
    </row>
    <row r="3003" spans="1:24" ht="30" customHeight="1" thickBot="1">
      <c r="A3003" s="1165"/>
      <c r="B3003" s="1166"/>
      <c r="C3003" s="1166"/>
      <c r="D3003" s="1166"/>
      <c r="E3003" s="1166"/>
      <c r="F3003" s="1166"/>
      <c r="G3003" s="1166"/>
      <c r="H3003" s="1166"/>
      <c r="I3003" s="1166"/>
      <c r="J3003" s="1166"/>
      <c r="K3003" s="1166"/>
      <c r="L3003" s="1167"/>
      <c r="M3003" s="1146"/>
      <c r="N3003" s="1103"/>
      <c r="O3003"/>
      <c r="P3003" s="159"/>
      <c r="Q3003" s="147"/>
      <c r="R3003" s="149"/>
    </row>
    <row r="3004" spans="1:24" ht="30" customHeight="1">
      <c r="A3004" s="81" t="s">
        <v>280</v>
      </c>
      <c r="B3004" s="82">
        <v>7372</v>
      </c>
      <c r="C3004" s="1197" t="s">
        <v>1706</v>
      </c>
      <c r="D3004" s="1198"/>
      <c r="E3004" s="74" t="s">
        <v>282</v>
      </c>
      <c r="F3004" s="75" t="s">
        <v>8</v>
      </c>
      <c r="G3004" s="58" t="s">
        <v>290</v>
      </c>
      <c r="H3004" s="76">
        <v>9315</v>
      </c>
      <c r="I3004" s="74" t="s">
        <v>283</v>
      </c>
      <c r="J3004" s="1199" t="s">
        <v>2529</v>
      </c>
      <c r="K3004" s="1199"/>
      <c r="L3004" s="1200"/>
      <c r="M3004" s="1146"/>
      <c r="N3004" s="1103"/>
      <c r="O3004"/>
      <c r="P3004" s="159"/>
      <c r="Q3004" s="147"/>
      <c r="R3004" s="149"/>
    </row>
    <row r="3005" spans="1:24" ht="30" customHeight="1">
      <c r="A3005" s="79" t="s">
        <v>304</v>
      </c>
      <c r="B3005" s="1201" t="s">
        <v>330</v>
      </c>
      <c r="C3005" s="1202"/>
      <c r="D3005" s="1203"/>
      <c r="E3005" s="150" t="s">
        <v>295</v>
      </c>
      <c r="F3005" s="150" t="s">
        <v>331</v>
      </c>
      <c r="G3005" s="1204" t="s">
        <v>332</v>
      </c>
      <c r="H3005" s="1205"/>
      <c r="I3005" s="77" t="s">
        <v>305</v>
      </c>
      <c r="J3005" s="77"/>
      <c r="K3005" s="1206" t="s">
        <v>297</v>
      </c>
      <c r="L3005" s="1207"/>
      <c r="M3005" s="1146"/>
      <c r="N3005" s="1103"/>
      <c r="O3005"/>
      <c r="P3005" s="159"/>
      <c r="Q3005" s="147"/>
      <c r="R3005" s="149"/>
      <c r="T3005" s="38"/>
      <c r="U3005" s="38"/>
      <c r="V3005" s="38"/>
      <c r="W3005" s="38"/>
      <c r="X3005" s="38"/>
    </row>
    <row r="3006" spans="1:24" s="38" customFormat="1" ht="30" customHeight="1">
      <c r="A3006" s="351" t="s">
        <v>1707</v>
      </c>
      <c r="B3006" s="1179" t="s">
        <v>1708</v>
      </c>
      <c r="C3006" s="1180"/>
      <c r="D3006" s="1181"/>
      <c r="E3006" s="153">
        <v>117.9</v>
      </c>
      <c r="F3006" s="22" t="s">
        <v>8</v>
      </c>
      <c r="G3006" s="521"/>
      <c r="H3006" s="333"/>
      <c r="I3006" s="20">
        <v>1.07</v>
      </c>
      <c r="J3006" s="20"/>
      <c r="K3006" s="153">
        <f>+E3006*I3006</f>
        <v>126.15300000000002</v>
      </c>
      <c r="L3006" s="20" t="s">
        <v>8</v>
      </c>
      <c r="M3006" s="1146"/>
      <c r="N3006" s="1103"/>
      <c r="P3006" s="159"/>
      <c r="Q3006" s="147"/>
      <c r="R3006" s="149"/>
      <c r="T3006"/>
      <c r="U3006"/>
      <c r="V3006"/>
      <c r="W3006"/>
      <c r="X3006"/>
    </row>
    <row r="3007" spans="1:24" ht="30" customHeight="1">
      <c r="A3007" s="647" t="s">
        <v>418</v>
      </c>
      <c r="B3007" s="1267" t="s">
        <v>1682</v>
      </c>
      <c r="C3007" s="1267"/>
      <c r="D3007" s="1267"/>
      <c r="E3007" s="153">
        <v>3.71</v>
      </c>
      <c r="F3007" s="20" t="s">
        <v>8</v>
      </c>
      <c r="G3007" s="20"/>
      <c r="H3007" s="20"/>
      <c r="I3007" s="20">
        <v>1.07</v>
      </c>
      <c r="J3007" s="20"/>
      <c r="K3007" s="153">
        <f>+E3007*I3007</f>
        <v>3.9697</v>
      </c>
      <c r="L3007" s="20" t="s">
        <v>8</v>
      </c>
      <c r="M3007" s="1146"/>
      <c r="O3007"/>
      <c r="P3007" s="159"/>
      <c r="Q3007" s="147"/>
      <c r="R3007" s="149"/>
    </row>
    <row r="3008" spans="1:24" ht="30" customHeight="1">
      <c r="A3008" s="20"/>
      <c r="B3008" s="1267"/>
      <c r="C3008" s="1267"/>
      <c r="D3008" s="1267"/>
      <c r="E3008" s="153"/>
      <c r="F3008" s="20"/>
      <c r="G3008" s="206"/>
      <c r="H3008" s="20"/>
      <c r="I3008" s="20"/>
      <c r="J3008" s="20" t="s">
        <v>346</v>
      </c>
      <c r="K3008" s="153">
        <f>SUM(K3006:K3007)</f>
        <v>130.12270000000001</v>
      </c>
      <c r="L3008" s="20" t="s">
        <v>8</v>
      </c>
      <c r="M3008" s="1146"/>
      <c r="O3008"/>
      <c r="P3008" s="159"/>
      <c r="Q3008" s="147"/>
      <c r="R3008" s="149"/>
    </row>
    <row r="3009" spans="1:24" ht="30" customHeight="1">
      <c r="A3009" s="20"/>
      <c r="B3009" s="157"/>
      <c r="C3009" s="157"/>
      <c r="D3009" s="157"/>
      <c r="E3009" s="153"/>
      <c r="F3009" s="1174" t="s">
        <v>308</v>
      </c>
      <c r="G3009" s="1208" t="s">
        <v>309</v>
      </c>
      <c r="H3009" s="1208"/>
      <c r="I3009" s="1208"/>
      <c r="J3009" s="1208"/>
      <c r="K3009" s="123">
        <v>1.06</v>
      </c>
      <c r="L3009" s="10"/>
      <c r="M3009" s="1146"/>
      <c r="N3009" s="1103"/>
      <c r="O3009"/>
      <c r="P3009" s="159"/>
      <c r="Q3009" s="147"/>
      <c r="R3009" s="149"/>
    </row>
    <row r="3010" spans="1:24" ht="30" customHeight="1">
      <c r="A3010" s="20"/>
      <c r="B3010" s="157"/>
      <c r="C3010" s="157"/>
      <c r="D3010" s="157"/>
      <c r="E3010" s="153"/>
      <c r="F3010" s="1175"/>
      <c r="G3010" s="1209" t="s">
        <v>310</v>
      </c>
      <c r="H3010" s="1209"/>
      <c r="I3010" s="1209"/>
      <c r="J3010" s="1209"/>
      <c r="K3010" s="123">
        <v>1.07</v>
      </c>
      <c r="L3010" s="10"/>
      <c r="M3010" s="1146"/>
      <c r="N3010" s="1103"/>
      <c r="O3010" s="34"/>
      <c r="P3010" s="283"/>
      <c r="Q3010" s="282"/>
      <c r="R3010" s="284"/>
    </row>
    <row r="3011" spans="1:24" ht="30" customHeight="1">
      <c r="A3011" s="20"/>
      <c r="B3011" s="20"/>
      <c r="C3011" s="18"/>
      <c r="D3011" s="18"/>
      <c r="E3011" s="18"/>
      <c r="F3011" s="18"/>
      <c r="G3011" s="18"/>
      <c r="H3011" s="18"/>
      <c r="I3011" s="18"/>
      <c r="J3011" s="20" t="s">
        <v>289</v>
      </c>
      <c r="K3011" s="23">
        <f>+K3008*K3009/K3010</f>
        <v>128.90660000000003</v>
      </c>
      <c r="L3011" s="20" t="s">
        <v>8</v>
      </c>
      <c r="M3011" s="1146"/>
      <c r="N3011" s="1103"/>
      <c r="O3011" s="34"/>
      <c r="P3011" s="283"/>
      <c r="Q3011" s="282"/>
      <c r="R3011" s="284"/>
    </row>
    <row r="3012" spans="1:24" ht="30" customHeight="1" thickBot="1">
      <c r="A3012" s="20"/>
      <c r="B3012" s="20"/>
      <c r="C3012" s="18"/>
      <c r="D3012" s="18"/>
      <c r="E3012" s="18"/>
      <c r="F3012" s="18"/>
      <c r="G3012" s="160" t="s">
        <v>312</v>
      </c>
      <c r="H3012" s="18"/>
      <c r="I3012" s="18"/>
      <c r="J3012" s="139">
        <f>VLOOKUP(B3004,'Mil Cost Premiums for RUCs'!$A$4:$R$266,18,FALSE)</f>
        <v>1.3319480854780448</v>
      </c>
      <c r="K3012" s="23">
        <f>+K3011*J3012</f>
        <v>171.69689907548417</v>
      </c>
      <c r="L3012" s="20" t="s">
        <v>8</v>
      </c>
      <c r="M3012" s="1146"/>
      <c r="N3012" s="1103"/>
      <c r="O3012"/>
      <c r="P3012" s="159"/>
      <c r="Q3012" s="147"/>
      <c r="R3012" s="149"/>
    </row>
    <row r="3013" spans="1:24" ht="30" customHeight="1" thickBot="1">
      <c r="A3013" s="1165"/>
      <c r="B3013" s="1166"/>
      <c r="C3013" s="1166"/>
      <c r="D3013" s="1166"/>
      <c r="E3013" s="1166"/>
      <c r="F3013" s="1166"/>
      <c r="G3013" s="1166"/>
      <c r="H3013" s="1166"/>
      <c r="I3013" s="1166"/>
      <c r="J3013" s="1166"/>
      <c r="K3013" s="1166"/>
      <c r="L3013" s="1167"/>
      <c r="M3013" s="1146"/>
      <c r="N3013" s="1103"/>
      <c r="O3013"/>
      <c r="P3013" s="159"/>
      <c r="Q3013" s="147"/>
      <c r="R3013" s="149"/>
    </row>
    <row r="3014" spans="1:24" ht="30" customHeight="1">
      <c r="A3014" s="27" t="s">
        <v>280</v>
      </c>
      <c r="B3014" s="82">
        <v>7381</v>
      </c>
      <c r="C3014" s="1197" t="s">
        <v>1710</v>
      </c>
      <c r="D3014" s="1198"/>
      <c r="E3014" s="74" t="s">
        <v>282</v>
      </c>
      <c r="F3014" s="75" t="s">
        <v>8</v>
      </c>
      <c r="G3014" s="58" t="s">
        <v>290</v>
      </c>
      <c r="H3014" s="701">
        <v>316</v>
      </c>
      <c r="I3014" s="74" t="s">
        <v>283</v>
      </c>
      <c r="J3014" s="1199" t="s">
        <v>2529</v>
      </c>
      <c r="K3014" s="1199"/>
      <c r="L3014" s="1200"/>
      <c r="M3014" s="1146"/>
      <c r="N3014" s="1103"/>
      <c r="O3014"/>
      <c r="P3014" s="159"/>
      <c r="Q3014" s="147"/>
      <c r="R3014" s="149"/>
    </row>
    <row r="3015" spans="1:24" ht="30" customHeight="1">
      <c r="A3015" s="37" t="s">
        <v>304</v>
      </c>
      <c r="B3015" s="1201" t="s">
        <v>330</v>
      </c>
      <c r="C3015" s="1202"/>
      <c r="D3015" s="1203"/>
      <c r="E3015" s="150" t="s">
        <v>295</v>
      </c>
      <c r="F3015" s="150" t="s">
        <v>331</v>
      </c>
      <c r="G3015" s="1204" t="s">
        <v>332</v>
      </c>
      <c r="H3015" s="1205"/>
      <c r="I3015" s="77" t="s">
        <v>305</v>
      </c>
      <c r="J3015" s="77"/>
      <c r="K3015" s="1206" t="s">
        <v>297</v>
      </c>
      <c r="L3015" s="1207"/>
      <c r="M3015" s="1146"/>
      <c r="N3015" s="1103"/>
      <c r="O3015"/>
      <c r="P3015" s="159"/>
      <c r="Q3015" s="147"/>
      <c r="R3015" s="149"/>
      <c r="T3015" s="38"/>
      <c r="U3015" s="38"/>
      <c r="V3015" s="38"/>
      <c r="W3015" s="38"/>
      <c r="X3015" s="38"/>
    </row>
    <row r="3016" spans="1:24" s="38" customFormat="1" ht="30" customHeight="1">
      <c r="A3016" s="652" t="s">
        <v>1711</v>
      </c>
      <c r="B3016" s="1179" t="s">
        <v>1712</v>
      </c>
      <c r="C3016" s="1180"/>
      <c r="D3016" s="1181"/>
      <c r="E3016" s="153">
        <v>76.5</v>
      </c>
      <c r="F3016" s="22" t="s">
        <v>8</v>
      </c>
      <c r="G3016" s="521"/>
      <c r="H3016" s="333"/>
      <c r="I3016" s="326">
        <v>1.1000000000000001</v>
      </c>
      <c r="J3016" s="20"/>
      <c r="K3016" s="153">
        <f>+E3016*I3016</f>
        <v>84.15</v>
      </c>
      <c r="L3016" s="20" t="s">
        <v>8</v>
      </c>
      <c r="M3016" s="1146"/>
      <c r="N3016" s="1103"/>
      <c r="P3016" s="159"/>
      <c r="Q3016" s="147"/>
      <c r="R3016" s="149"/>
      <c r="T3016"/>
      <c r="U3016"/>
      <c r="V3016"/>
      <c r="W3016"/>
      <c r="X3016"/>
    </row>
    <row r="3017" spans="1:24" ht="30" customHeight="1">
      <c r="A3017" s="45"/>
      <c r="B3017" s="157"/>
      <c r="C3017" s="157"/>
      <c r="D3017" s="157"/>
      <c r="E3017" s="153"/>
      <c r="F3017" s="1174" t="s">
        <v>308</v>
      </c>
      <c r="G3017" s="1208" t="s">
        <v>309</v>
      </c>
      <c r="H3017" s="1208"/>
      <c r="I3017" s="1208"/>
      <c r="J3017" s="1208"/>
      <c r="K3017" s="123">
        <v>1.06</v>
      </c>
      <c r="L3017" s="10"/>
      <c r="M3017" s="1146"/>
      <c r="N3017" s="1103"/>
      <c r="O3017"/>
      <c r="P3017" s="159"/>
      <c r="Q3017" s="147"/>
      <c r="R3017" s="149"/>
    </row>
    <row r="3018" spans="1:24" ht="30" customHeight="1">
      <c r="A3018" s="45"/>
      <c r="B3018" s="157"/>
      <c r="C3018" s="157"/>
      <c r="D3018" s="157"/>
      <c r="E3018" s="153"/>
      <c r="F3018" s="1175"/>
      <c r="G3018" s="1209" t="s">
        <v>310</v>
      </c>
      <c r="H3018" s="1209"/>
      <c r="I3018" s="1209"/>
      <c r="J3018" s="1209"/>
      <c r="K3018" s="123">
        <v>1.07</v>
      </c>
      <c r="L3018" s="10"/>
      <c r="M3018" s="1146"/>
      <c r="N3018" s="1103"/>
      <c r="O3018"/>
      <c r="P3018" s="159"/>
      <c r="Q3018" s="147"/>
      <c r="R3018" s="149"/>
    </row>
    <row r="3019" spans="1:24" ht="30" customHeight="1">
      <c r="A3019" s="45"/>
      <c r="B3019" s="20"/>
      <c r="C3019" s="18"/>
      <c r="D3019" s="18"/>
      <c r="E3019" s="18"/>
      <c r="F3019" s="18"/>
      <c r="G3019" s="18"/>
      <c r="H3019" s="18"/>
      <c r="I3019" s="18"/>
      <c r="J3019" s="20" t="s">
        <v>289</v>
      </c>
      <c r="K3019" s="23">
        <f>+K3016*K3017/K3018</f>
        <v>83.363551401869159</v>
      </c>
      <c r="L3019" s="20" t="s">
        <v>8</v>
      </c>
      <c r="M3019" s="1146"/>
      <c r="N3019" s="282"/>
      <c r="O3019"/>
      <c r="P3019" s="159"/>
      <c r="Q3019" s="147"/>
      <c r="R3019" s="149"/>
    </row>
    <row r="3020" spans="1:24" ht="30" customHeight="1" thickBot="1">
      <c r="A3020" s="45"/>
      <c r="B3020" s="20"/>
      <c r="C3020" s="18"/>
      <c r="D3020" s="18"/>
      <c r="E3020" s="18"/>
      <c r="F3020" s="18"/>
      <c r="G3020" s="160" t="s">
        <v>312</v>
      </c>
      <c r="H3020" s="18"/>
      <c r="I3020" s="18"/>
      <c r="J3020" s="139">
        <f>VLOOKUP(B3014,'Mil Cost Premiums for RUCs'!$A$4:$R$266,18,FALSE)</f>
        <v>1.0209999999999999</v>
      </c>
      <c r="K3020" s="23">
        <f>+K3019*J3020</f>
        <v>85.11418598130841</v>
      </c>
      <c r="L3020" s="20" t="s">
        <v>8</v>
      </c>
      <c r="M3020" s="1146"/>
      <c r="N3020" s="282"/>
      <c r="O3020" s="34"/>
      <c r="P3020" s="283"/>
      <c r="Q3020" s="282"/>
      <c r="R3020" s="284"/>
    </row>
    <row r="3021" spans="1:24" ht="30" customHeight="1" thickBot="1">
      <c r="A3021" s="1165"/>
      <c r="B3021" s="1166"/>
      <c r="C3021" s="1166"/>
      <c r="D3021" s="1166"/>
      <c r="E3021" s="1166"/>
      <c r="F3021" s="1166"/>
      <c r="G3021" s="1166"/>
      <c r="H3021" s="1166"/>
      <c r="I3021" s="1166"/>
      <c r="J3021" s="1166"/>
      <c r="K3021" s="1166"/>
      <c r="L3021" s="1167"/>
      <c r="M3021" s="1146"/>
      <c r="N3021" s="1103"/>
      <c r="O3021" s="34"/>
      <c r="P3021" s="283"/>
      <c r="Q3021" s="282"/>
      <c r="R3021" s="284"/>
    </row>
    <row r="3022" spans="1:24" ht="30" customHeight="1">
      <c r="A3022" s="27" t="s">
        <v>280</v>
      </c>
      <c r="B3022" s="82">
        <v>7382</v>
      </c>
      <c r="C3022" s="1197" t="s">
        <v>1713</v>
      </c>
      <c r="D3022" s="1198"/>
      <c r="E3022" s="74" t="s">
        <v>282</v>
      </c>
      <c r="F3022" s="75" t="s">
        <v>8</v>
      </c>
      <c r="G3022" s="58" t="s">
        <v>290</v>
      </c>
      <c r="H3022" s="104">
        <v>4302</v>
      </c>
      <c r="I3022" s="74" t="s">
        <v>283</v>
      </c>
      <c r="J3022" s="1199" t="s">
        <v>2529</v>
      </c>
      <c r="K3022" s="1199"/>
      <c r="L3022" s="1200"/>
      <c r="M3022" s="1146"/>
      <c r="N3022" s="1103"/>
      <c r="O3022"/>
      <c r="P3022" s="159"/>
      <c r="Q3022" s="147"/>
      <c r="R3022" s="149"/>
    </row>
    <row r="3023" spans="1:24" ht="30" customHeight="1">
      <c r="A3023" s="37" t="s">
        <v>304</v>
      </c>
      <c r="B3023" s="1201" t="s">
        <v>330</v>
      </c>
      <c r="C3023" s="1202"/>
      <c r="D3023" s="1203"/>
      <c r="E3023" s="150" t="s">
        <v>295</v>
      </c>
      <c r="F3023" s="150" t="s">
        <v>331</v>
      </c>
      <c r="G3023" s="1204" t="s">
        <v>332</v>
      </c>
      <c r="H3023" s="1205"/>
      <c r="I3023" s="77" t="s">
        <v>305</v>
      </c>
      <c r="J3023" s="77"/>
      <c r="K3023" s="1206" t="s">
        <v>297</v>
      </c>
      <c r="L3023" s="1207"/>
      <c r="M3023" s="1146"/>
      <c r="N3023" s="1103"/>
      <c r="O3023"/>
      <c r="P3023" s="159"/>
      <c r="Q3023" s="147"/>
      <c r="R3023" s="149"/>
    </row>
    <row r="3024" spans="1:24" ht="30" customHeight="1">
      <c r="A3024" s="652" t="s">
        <v>571</v>
      </c>
      <c r="B3024" s="1179" t="s">
        <v>1547</v>
      </c>
      <c r="C3024" s="1180"/>
      <c r="D3024" s="1181"/>
      <c r="E3024" s="153">
        <v>133</v>
      </c>
      <c r="F3024" s="22" t="s">
        <v>8</v>
      </c>
      <c r="G3024" s="521"/>
      <c r="H3024" s="333"/>
      <c r="I3024" s="20">
        <v>1.08</v>
      </c>
      <c r="J3024" s="20"/>
      <c r="K3024" s="153">
        <f>+E3024*I3024</f>
        <v>143.64000000000001</v>
      </c>
      <c r="L3024" s="20" t="s">
        <v>8</v>
      </c>
      <c r="M3024" s="1146"/>
      <c r="N3024" s="1103"/>
      <c r="O3024"/>
      <c r="P3024" s="159"/>
      <c r="Q3024" s="147"/>
      <c r="R3024" s="149"/>
    </row>
    <row r="3025" spans="1:24" ht="30" customHeight="1">
      <c r="A3025" s="45" t="s">
        <v>574</v>
      </c>
      <c r="B3025" s="1267" t="s">
        <v>1714</v>
      </c>
      <c r="C3025" s="1267"/>
      <c r="D3025" s="1267"/>
      <c r="E3025" s="153">
        <v>4.1500000000000004</v>
      </c>
      <c r="F3025" s="20" t="s">
        <v>8</v>
      </c>
      <c r="G3025" s="206"/>
      <c r="H3025" s="20"/>
      <c r="I3025" s="20">
        <v>1.08</v>
      </c>
      <c r="J3025" s="20"/>
      <c r="K3025" s="153">
        <f>+E3025*I3025</f>
        <v>4.4820000000000011</v>
      </c>
      <c r="L3025" s="20" t="s">
        <v>8</v>
      </c>
      <c r="M3025" s="1146"/>
      <c r="N3025" s="1103"/>
      <c r="O3025"/>
      <c r="P3025" s="159"/>
      <c r="Q3025" s="147"/>
      <c r="R3025" s="149"/>
      <c r="T3025" s="38"/>
      <c r="U3025" s="38"/>
      <c r="V3025" s="38"/>
      <c r="W3025" s="38"/>
      <c r="X3025" s="38"/>
    </row>
    <row r="3026" spans="1:24" s="38" customFormat="1" ht="30" customHeight="1">
      <c r="A3026" s="45"/>
      <c r="B3026" s="20"/>
      <c r="C3026" s="18"/>
      <c r="D3026" s="18"/>
      <c r="E3026" s="18"/>
      <c r="F3026" s="18"/>
      <c r="G3026" s="18"/>
      <c r="H3026" s="18"/>
      <c r="I3026" s="18"/>
      <c r="J3026" s="20" t="s">
        <v>346</v>
      </c>
      <c r="K3026" s="23">
        <f>SUM(K3024:K3025)</f>
        <v>148.12200000000001</v>
      </c>
      <c r="L3026" s="20" t="s">
        <v>8</v>
      </c>
      <c r="M3026" s="1146"/>
      <c r="N3026" s="1103"/>
      <c r="P3026" s="159"/>
      <c r="Q3026" s="147"/>
      <c r="R3026" s="149"/>
      <c r="T3026"/>
      <c r="U3026"/>
      <c r="V3026"/>
      <c r="W3026"/>
      <c r="X3026"/>
    </row>
    <row r="3027" spans="1:24" ht="30" customHeight="1">
      <c r="A3027" s="45"/>
      <c r="B3027" s="157"/>
      <c r="C3027" s="157"/>
      <c r="D3027" s="157"/>
      <c r="E3027" s="153"/>
      <c r="F3027" s="1174" t="s">
        <v>308</v>
      </c>
      <c r="G3027" s="1208" t="s">
        <v>309</v>
      </c>
      <c r="H3027" s="1208"/>
      <c r="I3027" s="1208"/>
      <c r="J3027" s="1208"/>
      <c r="K3027" s="123">
        <v>1.06</v>
      </c>
      <c r="L3027" s="10"/>
      <c r="M3027" s="1146"/>
      <c r="N3027" s="1103"/>
      <c r="O3027"/>
      <c r="P3027" s="159"/>
      <c r="Q3027" s="147"/>
      <c r="R3027" s="149"/>
    </row>
    <row r="3028" spans="1:24" ht="30" customHeight="1">
      <c r="A3028" s="45"/>
      <c r="B3028" s="157"/>
      <c r="C3028" s="157"/>
      <c r="D3028" s="157"/>
      <c r="E3028" s="153"/>
      <c r="F3028" s="1175"/>
      <c r="G3028" s="1209" t="s">
        <v>310</v>
      </c>
      <c r="H3028" s="1209"/>
      <c r="I3028" s="1209"/>
      <c r="J3028" s="1209"/>
      <c r="K3028" s="123">
        <v>1.07</v>
      </c>
      <c r="L3028" s="10"/>
      <c r="M3028" s="1146"/>
      <c r="N3028" s="1103"/>
      <c r="O3028"/>
      <c r="P3028" s="159"/>
      <c r="Q3028" s="147"/>
      <c r="R3028" s="149"/>
    </row>
    <row r="3029" spans="1:24" ht="30" customHeight="1">
      <c r="A3029" s="45"/>
      <c r="B3029" s="157"/>
      <c r="C3029" s="157"/>
      <c r="D3029" s="157"/>
      <c r="E3029" s="153"/>
      <c r="F3029" s="696"/>
      <c r="G3029" s="497"/>
      <c r="H3029" s="497"/>
      <c r="I3029" s="497"/>
      <c r="J3029" s="20" t="s">
        <v>289</v>
      </c>
      <c r="K3029" s="116">
        <f>+K3026*K3027/K3028</f>
        <v>146.73768224299067</v>
      </c>
      <c r="L3029" s="20" t="s">
        <v>8</v>
      </c>
      <c r="M3029" s="1146"/>
      <c r="N3029" s="282"/>
      <c r="O3029"/>
      <c r="P3029" s="159"/>
      <c r="Q3029" s="147"/>
      <c r="R3029" s="149"/>
    </row>
    <row r="3030" spans="1:24" ht="30" customHeight="1" thickBot="1">
      <c r="A3030" s="45"/>
      <c r="B3030" s="20"/>
      <c r="C3030" s="18"/>
      <c r="D3030" s="18"/>
      <c r="E3030" s="18"/>
      <c r="F3030" s="18"/>
      <c r="G3030" s="160" t="s">
        <v>312</v>
      </c>
      <c r="H3030" s="18"/>
      <c r="I3030" s="18"/>
      <c r="J3030" s="139">
        <f>VLOOKUP(B3022,'Mil Cost Premiums for RUCs'!$A$4:$R$266,18,FALSE)</f>
        <v>1.0209999999999999</v>
      </c>
      <c r="K3030" s="23">
        <f>+K3029*J3030</f>
        <v>149.81917357009345</v>
      </c>
      <c r="L3030" s="20" t="s">
        <v>8</v>
      </c>
      <c r="M3030" s="1146"/>
      <c r="N3030" s="282"/>
      <c r="O3030" s="34"/>
      <c r="P3030" s="283"/>
      <c r="Q3030" s="282"/>
      <c r="R3030" s="284"/>
    </row>
    <row r="3031" spans="1:24" ht="30" customHeight="1" thickBot="1">
      <c r="A3031" s="1165"/>
      <c r="B3031" s="1166"/>
      <c r="C3031" s="1166"/>
      <c r="D3031" s="1166"/>
      <c r="E3031" s="1166"/>
      <c r="F3031" s="1166"/>
      <c r="G3031" s="1166"/>
      <c r="H3031" s="1166"/>
      <c r="I3031" s="1166"/>
      <c r="J3031" s="1166"/>
      <c r="K3031" s="1166"/>
      <c r="L3031" s="1167"/>
      <c r="M3031" s="1146"/>
      <c r="N3031" s="1103"/>
      <c r="O3031" s="34"/>
      <c r="P3031" s="283"/>
      <c r="Q3031" s="282"/>
      <c r="R3031" s="284"/>
    </row>
    <row r="3032" spans="1:24" ht="30" customHeight="1">
      <c r="A3032" s="81" t="s">
        <v>280</v>
      </c>
      <c r="B3032" s="82">
        <v>7383</v>
      </c>
      <c r="C3032" s="1228" t="s">
        <v>1715</v>
      </c>
      <c r="D3032" s="1229"/>
      <c r="E3032" s="74" t="s">
        <v>282</v>
      </c>
      <c r="F3032" s="75" t="s">
        <v>8</v>
      </c>
      <c r="G3032" s="58" t="s">
        <v>290</v>
      </c>
      <c r="H3032" s="701">
        <v>3166</v>
      </c>
      <c r="I3032" s="74" t="s">
        <v>283</v>
      </c>
      <c r="J3032" s="1199" t="s">
        <v>1349</v>
      </c>
      <c r="K3032" s="1230"/>
      <c r="L3032" s="1231"/>
      <c r="M3032" s="1146"/>
      <c r="N3032" s="1103"/>
      <c r="O3032"/>
      <c r="P3032" s="159"/>
      <c r="Q3032" s="147"/>
      <c r="R3032" s="149"/>
    </row>
    <row r="3033" spans="1:24" ht="30" customHeight="1">
      <c r="A3033" s="77" t="s">
        <v>293</v>
      </c>
      <c r="B3033" s="1232" t="s">
        <v>284</v>
      </c>
      <c r="C3033" s="1232"/>
      <c r="D3033" s="1232"/>
      <c r="E3033" s="78" t="s">
        <v>294</v>
      </c>
      <c r="F3033" s="96" t="s">
        <v>295</v>
      </c>
      <c r="G3033" s="636"/>
      <c r="H3033" s="637"/>
      <c r="I3033" s="1233" t="s">
        <v>296</v>
      </c>
      <c r="J3033" s="1234"/>
      <c r="K3033" s="1206" t="s">
        <v>297</v>
      </c>
      <c r="L3033" s="1207"/>
      <c r="M3033" s="1146"/>
      <c r="N3033" s="1103"/>
      <c r="O3033"/>
      <c r="P3033" s="159"/>
      <c r="Q3033" s="147"/>
      <c r="R3033" s="149"/>
    </row>
    <row r="3034" spans="1:24" ht="30" customHeight="1">
      <c r="A3034" s="97">
        <v>62010</v>
      </c>
      <c r="B3034" s="1222" t="s">
        <v>1467</v>
      </c>
      <c r="C3034" s="1222"/>
      <c r="D3034" s="1222"/>
      <c r="E3034" s="98">
        <v>6000</v>
      </c>
      <c r="F3034" s="105">
        <v>235</v>
      </c>
      <c r="G3034" s="97"/>
      <c r="H3034" s="530"/>
      <c r="I3034" s="1546">
        <f>+'2019 MILCON Inflation Table'!F8</f>
        <v>1.2987915407854984</v>
      </c>
      <c r="J3034" s="1547"/>
      <c r="K3034" s="106">
        <f>+F3034*I3034</f>
        <v>305.21601208459214</v>
      </c>
      <c r="L3034" s="97" t="s">
        <v>8</v>
      </c>
      <c r="M3034" s="1146"/>
      <c r="N3034" s="1103"/>
      <c r="O3034"/>
      <c r="P3034" s="159"/>
      <c r="Q3034" s="147"/>
      <c r="R3034" s="149"/>
    </row>
    <row r="3035" spans="1:24" ht="30" customHeight="1" thickBot="1">
      <c r="A3035" s="20"/>
      <c r="B3035" s="1224"/>
      <c r="C3035" s="1224"/>
      <c r="D3035" s="1224"/>
      <c r="E3035" s="1225"/>
      <c r="F3035" s="1226"/>
      <c r="G3035" s="1226"/>
      <c r="H3035" s="1227"/>
      <c r="I3035" s="18"/>
      <c r="J3035" s="79" t="s">
        <v>289</v>
      </c>
      <c r="K3035" s="107">
        <f>+K3034</f>
        <v>305.21601208459214</v>
      </c>
      <c r="L3035" s="20" t="s">
        <v>8</v>
      </c>
      <c r="M3035" s="1146"/>
      <c r="N3035" s="1103"/>
      <c r="O3035"/>
      <c r="P3035" s="159"/>
      <c r="Q3035" s="147"/>
      <c r="R3035" s="149"/>
      <c r="T3035" s="38"/>
      <c r="U3035" s="38"/>
      <c r="V3035" s="38"/>
      <c r="W3035" s="38"/>
      <c r="X3035" s="38"/>
    </row>
    <row r="3036" spans="1:24" s="38" customFormat="1" ht="30" customHeight="1" thickBot="1">
      <c r="A3036" s="1165"/>
      <c r="B3036" s="1166"/>
      <c r="C3036" s="1166"/>
      <c r="D3036" s="1166"/>
      <c r="E3036" s="1166"/>
      <c r="F3036" s="1166"/>
      <c r="G3036" s="1166"/>
      <c r="H3036" s="1166"/>
      <c r="I3036" s="1166"/>
      <c r="J3036" s="1166"/>
      <c r="K3036" s="1166"/>
      <c r="L3036" s="1167"/>
      <c r="M3036" s="1146"/>
      <c r="N3036" s="1103"/>
      <c r="P3036" s="159"/>
      <c r="Q3036" s="147"/>
      <c r="R3036" s="149"/>
      <c r="T3036"/>
      <c r="U3036"/>
      <c r="V3036"/>
      <c r="W3036"/>
      <c r="X3036"/>
    </row>
    <row r="3037" spans="1:24" ht="30" customHeight="1">
      <c r="A3037" s="81" t="s">
        <v>280</v>
      </c>
      <c r="B3037" s="82">
        <v>7384</v>
      </c>
      <c r="C3037" s="1197" t="s">
        <v>1716</v>
      </c>
      <c r="D3037" s="1198"/>
      <c r="E3037" s="74" t="s">
        <v>282</v>
      </c>
      <c r="F3037" s="75" t="s">
        <v>8</v>
      </c>
      <c r="G3037" s="58" t="s">
        <v>290</v>
      </c>
      <c r="H3037" s="76">
        <v>327</v>
      </c>
      <c r="I3037" s="74" t="s">
        <v>283</v>
      </c>
      <c r="J3037" s="1199" t="s">
        <v>2529</v>
      </c>
      <c r="K3037" s="1199"/>
      <c r="L3037" s="1200"/>
      <c r="M3037" s="1146"/>
      <c r="N3037" s="1103"/>
      <c r="O3037"/>
      <c r="P3037" s="159"/>
      <c r="Q3037" s="147"/>
      <c r="R3037" s="149"/>
    </row>
    <row r="3038" spans="1:24" ht="30" customHeight="1">
      <c r="A3038" s="79" t="s">
        <v>304</v>
      </c>
      <c r="B3038" s="1201" t="s">
        <v>330</v>
      </c>
      <c r="C3038" s="1202"/>
      <c r="D3038" s="1203"/>
      <c r="E3038" s="150" t="s">
        <v>295</v>
      </c>
      <c r="F3038" s="150" t="s">
        <v>331</v>
      </c>
      <c r="G3038" s="1204" t="s">
        <v>332</v>
      </c>
      <c r="H3038" s="1205"/>
      <c r="I3038" s="77" t="s">
        <v>305</v>
      </c>
      <c r="J3038" s="77"/>
      <c r="K3038" s="1206" t="s">
        <v>297</v>
      </c>
      <c r="L3038" s="1207"/>
      <c r="M3038" s="1146"/>
      <c r="N3038" s="1103"/>
      <c r="O3038"/>
      <c r="P3038" s="159"/>
      <c r="Q3038" s="147"/>
      <c r="R3038" s="149"/>
    </row>
    <row r="3039" spans="1:24" ht="30" customHeight="1">
      <c r="A3039" s="351" t="s">
        <v>538</v>
      </c>
      <c r="B3039" s="1179" t="s">
        <v>1717</v>
      </c>
      <c r="C3039" s="1180"/>
      <c r="D3039" s="1181"/>
      <c r="E3039" s="153">
        <f>+(17.1+43.25)/2</f>
        <v>30.175000000000001</v>
      </c>
      <c r="F3039" s="22" t="s">
        <v>8</v>
      </c>
      <c r="G3039" s="20"/>
      <c r="H3039" s="20"/>
      <c r="I3039" s="20">
        <v>1.05</v>
      </c>
      <c r="J3039" s="20"/>
      <c r="K3039" s="153">
        <f>+E3039*I3039</f>
        <v>31.683750000000003</v>
      </c>
      <c r="L3039" s="20" t="s">
        <v>8</v>
      </c>
      <c r="M3039" s="1146"/>
      <c r="N3039" s="282"/>
      <c r="O3039" s="34"/>
      <c r="P3039" s="283"/>
      <c r="Q3039" s="282"/>
      <c r="R3039" s="284"/>
    </row>
    <row r="3040" spans="1:24" ht="30" customHeight="1">
      <c r="A3040" s="351" t="s">
        <v>538</v>
      </c>
      <c r="B3040" s="1176" t="s">
        <v>1718</v>
      </c>
      <c r="C3040" s="1177"/>
      <c r="D3040" s="1178"/>
      <c r="E3040" s="153">
        <f>+(84.5+232)/2</f>
        <v>158.25</v>
      </c>
      <c r="F3040" s="22" t="s">
        <v>10</v>
      </c>
      <c r="G3040" s="20">
        <f>1/327</f>
        <v>3.0581039755351682E-3</v>
      </c>
      <c r="H3040" s="20" t="s">
        <v>586</v>
      </c>
      <c r="I3040" s="20">
        <v>1.08</v>
      </c>
      <c r="J3040" s="20">
        <v>2</v>
      </c>
      <c r="K3040" s="153">
        <f>E3040*G3040*J3040</f>
        <v>0.9678899082568807</v>
      </c>
      <c r="L3040" s="20" t="s">
        <v>8</v>
      </c>
      <c r="M3040" s="1146"/>
      <c r="N3040" s="282"/>
      <c r="O3040" s="34"/>
      <c r="P3040" s="283"/>
      <c r="Q3040" s="282"/>
      <c r="R3040" s="284"/>
    </row>
    <row r="3041" spans="1:24" ht="30" customHeight="1">
      <c r="A3041" s="651" t="s">
        <v>1641</v>
      </c>
      <c r="B3041" s="1267" t="s">
        <v>1719</v>
      </c>
      <c r="C3041" s="1267"/>
      <c r="D3041" s="1267"/>
      <c r="E3041" s="153">
        <v>65.8</v>
      </c>
      <c r="F3041" s="20" t="s">
        <v>8</v>
      </c>
      <c r="G3041" s="206"/>
      <c r="H3041" s="20"/>
      <c r="I3041" s="20">
        <v>1.05</v>
      </c>
      <c r="J3041" s="20"/>
      <c r="K3041" s="153">
        <f>+E3041*I3041</f>
        <v>69.09</v>
      </c>
      <c r="L3041" s="20" t="s">
        <v>8</v>
      </c>
      <c r="M3041" s="1146"/>
      <c r="O3041"/>
      <c r="P3041" s="159"/>
      <c r="Q3041" s="147"/>
      <c r="R3041" s="149"/>
      <c r="T3041" s="44"/>
      <c r="U3041" s="34"/>
    </row>
    <row r="3042" spans="1:24" ht="30" customHeight="1">
      <c r="A3042" s="651"/>
      <c r="B3042" s="157"/>
      <c r="C3042" s="157"/>
      <c r="D3042" s="157"/>
      <c r="E3042" s="153"/>
      <c r="F3042" s="20"/>
      <c r="G3042" s="206"/>
      <c r="H3042" s="20"/>
      <c r="I3042" s="20"/>
      <c r="J3042" s="251" t="s">
        <v>1720</v>
      </c>
      <c r="K3042" s="153">
        <f>((K3039+K3040)+K3041)/2</f>
        <v>50.870819954128443</v>
      </c>
      <c r="L3042" s="20" t="s">
        <v>8</v>
      </c>
      <c r="M3042" s="1146"/>
      <c r="N3042" s="654"/>
      <c r="P3042" s="34"/>
      <c r="Q3042" s="34"/>
      <c r="R3042" s="34"/>
      <c r="S3042" s="44"/>
      <c r="T3042" s="44"/>
      <c r="U3042" s="34"/>
    </row>
    <row r="3043" spans="1:24" ht="30" customHeight="1">
      <c r="A3043" s="20"/>
      <c r="B3043" s="157"/>
      <c r="C3043" s="157"/>
      <c r="D3043" s="157"/>
      <c r="E3043" s="153"/>
      <c r="F3043" s="1174" t="s">
        <v>308</v>
      </c>
      <c r="G3043" s="1208" t="s">
        <v>309</v>
      </c>
      <c r="H3043" s="1208"/>
      <c r="I3043" s="1208"/>
      <c r="J3043" s="1208"/>
      <c r="K3043" s="123">
        <v>1.06</v>
      </c>
      <c r="L3043" s="10"/>
      <c r="M3043" s="1146"/>
      <c r="N3043" s="1103"/>
      <c r="P3043" s="34"/>
      <c r="Q3043" s="34"/>
      <c r="R3043" s="34"/>
      <c r="S3043" s="44"/>
      <c r="T3043" s="32"/>
      <c r="U3043" s="32"/>
      <c r="V3043" s="32"/>
      <c r="W3043" s="32"/>
      <c r="X3043" s="32"/>
    </row>
    <row r="3044" spans="1:24" s="32" customFormat="1" ht="30" customHeight="1">
      <c r="A3044" s="20"/>
      <c r="B3044" s="157"/>
      <c r="C3044" s="157"/>
      <c r="D3044" s="157"/>
      <c r="E3044" s="153"/>
      <c r="F3044" s="1175"/>
      <c r="G3044" s="1209" t="s">
        <v>310</v>
      </c>
      <c r="H3044" s="1209"/>
      <c r="I3044" s="1209"/>
      <c r="J3044" s="1209"/>
      <c r="K3044" s="123">
        <v>1.07</v>
      </c>
      <c r="L3044" s="10"/>
      <c r="M3044" s="1146"/>
      <c r="N3044" s="980"/>
      <c r="O3044" s="33"/>
      <c r="T3044" s="38"/>
      <c r="U3044" s="38"/>
      <c r="V3044" s="38"/>
      <c r="W3044" s="38"/>
      <c r="X3044" s="38"/>
    </row>
    <row r="3045" spans="1:24" s="38" customFormat="1" ht="30" customHeight="1">
      <c r="A3045" s="20"/>
      <c r="B3045" s="20"/>
      <c r="C3045" s="18"/>
      <c r="D3045" s="18"/>
      <c r="E3045" s="18"/>
      <c r="F3045" s="18"/>
      <c r="G3045" s="18"/>
      <c r="H3045" s="18"/>
      <c r="I3045" s="18"/>
      <c r="J3045" s="18" t="s">
        <v>289</v>
      </c>
      <c r="K3045" s="23">
        <f>+K3042*K3043/K3044</f>
        <v>50.395391730258083</v>
      </c>
      <c r="L3045" s="20" t="s">
        <v>8</v>
      </c>
      <c r="M3045" s="1146"/>
      <c r="N3045" s="1103"/>
      <c r="O3045" s="1119"/>
      <c r="T3045"/>
      <c r="U3045"/>
      <c r="V3045"/>
      <c r="W3045"/>
      <c r="X3045"/>
    </row>
    <row r="3046" spans="1:24" ht="30" customHeight="1" thickBot="1">
      <c r="A3046" s="20"/>
      <c r="B3046" s="20"/>
      <c r="C3046" s="18"/>
      <c r="D3046" s="18"/>
      <c r="E3046" s="18"/>
      <c r="F3046" s="18"/>
      <c r="G3046" s="160" t="s">
        <v>312</v>
      </c>
      <c r="H3046" s="18"/>
      <c r="I3046" s="18"/>
      <c r="J3046" s="139">
        <f>VLOOKUP(B3037,'Mil Cost Premiums for RUCs'!$A$4:$R$266,18,FALSE)</f>
        <v>1.0209999999999999</v>
      </c>
      <c r="K3046" s="23">
        <f>+K3045*J3046</f>
        <v>51.453694956593502</v>
      </c>
      <c r="L3046" s="20" t="s">
        <v>8</v>
      </c>
      <c r="M3046" s="1146"/>
      <c r="N3046" s="655"/>
      <c r="T3046" s="44"/>
      <c r="U3046" s="34"/>
    </row>
    <row r="3047" spans="1:24" ht="30" customHeight="1" thickBot="1">
      <c r="A3047" s="1165"/>
      <c r="B3047" s="1166"/>
      <c r="C3047" s="1166"/>
      <c r="D3047" s="1166"/>
      <c r="E3047" s="1166"/>
      <c r="F3047" s="1166"/>
      <c r="G3047" s="1166"/>
      <c r="H3047" s="1166"/>
      <c r="I3047" s="1166"/>
      <c r="J3047" s="1166"/>
      <c r="K3047" s="1166"/>
      <c r="L3047" s="1167"/>
      <c r="M3047" s="1146"/>
      <c r="N3047" s="656"/>
      <c r="P3047" s="34"/>
      <c r="Q3047" s="34"/>
      <c r="R3047" s="34"/>
      <c r="S3047" s="44"/>
      <c r="T3047" s="44"/>
      <c r="U3047" s="34"/>
    </row>
    <row r="3048" spans="1:24" ht="30" customHeight="1">
      <c r="A3048" s="27" t="s">
        <v>280</v>
      </c>
      <c r="B3048" s="82">
        <v>7385</v>
      </c>
      <c r="C3048" s="1197" t="s">
        <v>1721</v>
      </c>
      <c r="D3048" s="1198"/>
      <c r="E3048" s="74" t="s">
        <v>282</v>
      </c>
      <c r="F3048" s="75" t="s">
        <v>8</v>
      </c>
      <c r="G3048" s="58" t="s">
        <v>290</v>
      </c>
      <c r="H3048" s="76">
        <v>656</v>
      </c>
      <c r="I3048" s="74" t="s">
        <v>283</v>
      </c>
      <c r="J3048" s="1199" t="s">
        <v>2529</v>
      </c>
      <c r="K3048" s="1199"/>
      <c r="L3048" s="1200"/>
      <c r="M3048" s="1146"/>
      <c r="N3048" s="282"/>
      <c r="P3048" s="34"/>
      <c r="Q3048" s="34"/>
      <c r="R3048" s="34"/>
      <c r="S3048" s="44"/>
      <c r="T3048" s="32"/>
      <c r="U3048" s="32"/>
      <c r="V3048" s="32"/>
      <c r="W3048" s="32"/>
      <c r="X3048" s="32"/>
    </row>
    <row r="3049" spans="1:24" s="32" customFormat="1" ht="30" customHeight="1">
      <c r="A3049" s="37" t="s">
        <v>304</v>
      </c>
      <c r="B3049" s="1201" t="s">
        <v>330</v>
      </c>
      <c r="C3049" s="1202"/>
      <c r="D3049" s="1203"/>
      <c r="E3049" s="150" t="s">
        <v>295</v>
      </c>
      <c r="F3049" s="150" t="s">
        <v>331</v>
      </c>
      <c r="G3049" s="1204" t="s">
        <v>332</v>
      </c>
      <c r="H3049" s="1205"/>
      <c r="I3049" s="77" t="s">
        <v>305</v>
      </c>
      <c r="J3049" s="77"/>
      <c r="K3049" s="1206" t="s">
        <v>297</v>
      </c>
      <c r="L3049" s="1207"/>
      <c r="M3049" s="1146"/>
      <c r="N3049" s="282"/>
      <c r="O3049" s="33"/>
      <c r="T3049" s="38"/>
      <c r="U3049" s="38"/>
      <c r="V3049" s="38"/>
      <c r="W3049" s="38"/>
      <c r="X3049" s="38"/>
    </row>
    <row r="3050" spans="1:24" s="38" customFormat="1" ht="30" customHeight="1">
      <c r="A3050" s="652" t="s">
        <v>1722</v>
      </c>
      <c r="B3050" s="1179" t="s">
        <v>1723</v>
      </c>
      <c r="C3050" s="1180"/>
      <c r="D3050" s="1181"/>
      <c r="E3050" s="153">
        <v>146</v>
      </c>
      <c r="F3050" s="22" t="s">
        <v>8</v>
      </c>
      <c r="G3050" s="702"/>
      <c r="H3050" s="703"/>
      <c r="I3050" s="20">
        <v>1.08</v>
      </c>
      <c r="J3050" s="20"/>
      <c r="K3050" s="153">
        <f>+E3050*I3050</f>
        <v>157.68</v>
      </c>
      <c r="L3050" s="20" t="s">
        <v>8</v>
      </c>
      <c r="M3050" s="1146"/>
      <c r="N3050" s="1103"/>
      <c r="O3050" s="1119"/>
      <c r="T3050"/>
      <c r="U3050"/>
      <c r="V3050"/>
      <c r="W3050"/>
      <c r="X3050"/>
    </row>
    <row r="3051" spans="1:24" ht="30" customHeight="1">
      <c r="A3051" s="45" t="s">
        <v>574</v>
      </c>
      <c r="B3051" s="1267" t="s">
        <v>1724</v>
      </c>
      <c r="C3051" s="1267"/>
      <c r="D3051" s="1267"/>
      <c r="E3051" s="153">
        <v>4.49</v>
      </c>
      <c r="F3051" s="20" t="s">
        <v>8</v>
      </c>
      <c r="G3051" s="206"/>
      <c r="H3051" s="20"/>
      <c r="I3051" s="20">
        <v>1.08</v>
      </c>
      <c r="J3051" s="20"/>
      <c r="K3051" s="153">
        <f>+E3051*I3051</f>
        <v>4.8492000000000006</v>
      </c>
      <c r="L3051" s="20" t="s">
        <v>8</v>
      </c>
      <c r="M3051" s="1146"/>
      <c r="N3051" s="1103"/>
    </row>
    <row r="3052" spans="1:24" ht="30" customHeight="1">
      <c r="A3052" s="45"/>
      <c r="B3052" s="20"/>
      <c r="C3052" s="18"/>
      <c r="D3052" s="18"/>
      <c r="E3052" s="18"/>
      <c r="F3052" s="18"/>
      <c r="G3052" s="18"/>
      <c r="H3052" s="18"/>
      <c r="I3052" s="18"/>
      <c r="J3052" s="20" t="s">
        <v>346</v>
      </c>
      <c r="K3052" s="23">
        <f>SUM(K3050:K3051)</f>
        <v>162.5292</v>
      </c>
      <c r="L3052" s="20" t="s">
        <v>8</v>
      </c>
      <c r="M3052" s="1146"/>
      <c r="N3052" s="1103"/>
      <c r="O3052"/>
      <c r="P3052" s="159"/>
      <c r="Q3052" s="147"/>
      <c r="R3052" s="149"/>
    </row>
    <row r="3053" spans="1:24" ht="30" customHeight="1">
      <c r="A3053" s="45"/>
      <c r="B3053" s="157"/>
      <c r="C3053" s="157"/>
      <c r="D3053" s="157"/>
      <c r="E3053" s="153"/>
      <c r="F3053" s="1174" t="s">
        <v>308</v>
      </c>
      <c r="G3053" s="1208" t="s">
        <v>309</v>
      </c>
      <c r="H3053" s="1208"/>
      <c r="I3053" s="1208"/>
      <c r="J3053" s="1208"/>
      <c r="K3053" s="123">
        <v>1.06</v>
      </c>
      <c r="L3053" s="10"/>
      <c r="M3053" s="1146"/>
      <c r="O3053"/>
      <c r="P3053" s="159"/>
      <c r="Q3053" s="147"/>
      <c r="R3053" s="149"/>
    </row>
    <row r="3054" spans="1:24" ht="30" customHeight="1">
      <c r="A3054" s="45"/>
      <c r="B3054" s="157"/>
      <c r="C3054" s="157"/>
      <c r="D3054" s="157"/>
      <c r="E3054" s="153"/>
      <c r="F3054" s="1175"/>
      <c r="G3054" s="1209" t="s">
        <v>310</v>
      </c>
      <c r="H3054" s="1209"/>
      <c r="I3054" s="1209"/>
      <c r="J3054" s="1209"/>
      <c r="K3054" s="123">
        <v>1.07</v>
      </c>
      <c r="L3054" s="10"/>
      <c r="M3054" s="1146"/>
      <c r="N3054" s="657"/>
      <c r="O3054"/>
      <c r="P3054" s="159"/>
      <c r="Q3054" s="147"/>
      <c r="R3054" s="149"/>
      <c r="T3054" s="38"/>
      <c r="U3054" s="38"/>
      <c r="V3054" s="38"/>
      <c r="W3054" s="38"/>
      <c r="X3054" s="38"/>
    </row>
    <row r="3055" spans="1:24" s="38" customFormat="1" ht="30" customHeight="1">
      <c r="A3055" s="45"/>
      <c r="B3055" s="20"/>
      <c r="C3055" s="18"/>
      <c r="D3055" s="18"/>
      <c r="E3055" s="18"/>
      <c r="F3055" s="18"/>
      <c r="G3055" s="18"/>
      <c r="H3055" s="18"/>
      <c r="I3055" s="18"/>
      <c r="J3055" s="18" t="s">
        <v>289</v>
      </c>
      <c r="K3055" s="23">
        <f>+K3052*K3053/K3054</f>
        <v>161.01023551401869</v>
      </c>
      <c r="L3055" s="20" t="s">
        <v>8</v>
      </c>
      <c r="M3055" s="1146"/>
      <c r="N3055" s="125"/>
      <c r="P3055" s="159"/>
      <c r="Q3055" s="147"/>
      <c r="R3055" s="149"/>
      <c r="T3055"/>
      <c r="U3055"/>
      <c r="V3055"/>
      <c r="W3055"/>
      <c r="X3055"/>
    </row>
    <row r="3056" spans="1:24" ht="30" customHeight="1" thickBot="1">
      <c r="A3056" s="45"/>
      <c r="B3056" s="20"/>
      <c r="C3056" s="18"/>
      <c r="D3056" s="18"/>
      <c r="E3056" s="18"/>
      <c r="F3056" s="18"/>
      <c r="G3056" s="160" t="s">
        <v>312</v>
      </c>
      <c r="H3056" s="18"/>
      <c r="I3056" s="18"/>
      <c r="J3056" s="139">
        <f>VLOOKUP(B3048,'Mil Cost Premiums for RUCs'!$A$4:$R$266,18,FALSE)</f>
        <v>1.1141416296059998</v>
      </c>
      <c r="K3056" s="23">
        <f>+K3055*J3056</f>
        <v>179.38820617883462</v>
      </c>
      <c r="L3056" s="20" t="s">
        <v>8</v>
      </c>
      <c r="M3056" s="1146"/>
      <c r="O3056"/>
      <c r="P3056" s="159"/>
      <c r="Q3056" s="147"/>
      <c r="R3056" s="149"/>
    </row>
    <row r="3057" spans="1:24" ht="30" customHeight="1" thickBot="1">
      <c r="A3057" s="1165"/>
      <c r="B3057" s="1166"/>
      <c r="C3057" s="1166"/>
      <c r="D3057" s="1166"/>
      <c r="E3057" s="1166"/>
      <c r="F3057" s="1166"/>
      <c r="G3057" s="1166"/>
      <c r="H3057" s="1166"/>
      <c r="I3057" s="1166"/>
      <c r="J3057" s="1166"/>
      <c r="K3057" s="1166"/>
      <c r="L3057" s="1167"/>
      <c r="M3057" s="1146"/>
      <c r="O3057"/>
      <c r="P3057" s="159"/>
      <c r="Q3057" s="147"/>
      <c r="R3057" s="149"/>
    </row>
    <row r="3058" spans="1:24" ht="30" customHeight="1">
      <c r="A3058" s="27" t="s">
        <v>280</v>
      </c>
      <c r="B3058" s="82">
        <v>7386</v>
      </c>
      <c r="C3058" s="1197" t="s">
        <v>1725</v>
      </c>
      <c r="D3058" s="1198"/>
      <c r="E3058" s="74" t="s">
        <v>282</v>
      </c>
      <c r="F3058" s="75" t="s">
        <v>8</v>
      </c>
      <c r="G3058" s="58" t="s">
        <v>290</v>
      </c>
      <c r="H3058" s="76">
        <v>16874</v>
      </c>
      <c r="I3058" s="74" t="s">
        <v>283</v>
      </c>
      <c r="J3058" s="1199" t="s">
        <v>2529</v>
      </c>
      <c r="K3058" s="1199"/>
      <c r="L3058" s="1200"/>
      <c r="M3058" s="1146"/>
      <c r="O3058"/>
      <c r="P3058" s="159"/>
      <c r="Q3058" s="147"/>
      <c r="R3058" s="149"/>
    </row>
    <row r="3059" spans="1:24" ht="30" customHeight="1">
      <c r="A3059" s="37" t="s">
        <v>304</v>
      </c>
      <c r="B3059" s="1201" t="s">
        <v>330</v>
      </c>
      <c r="C3059" s="1202"/>
      <c r="D3059" s="1203"/>
      <c r="E3059" s="150" t="s">
        <v>295</v>
      </c>
      <c r="F3059" s="150" t="s">
        <v>331</v>
      </c>
      <c r="G3059" s="1204" t="s">
        <v>332</v>
      </c>
      <c r="H3059" s="1205"/>
      <c r="I3059" s="77" t="s">
        <v>305</v>
      </c>
      <c r="J3059" s="77"/>
      <c r="K3059" s="1206" t="s">
        <v>297</v>
      </c>
      <c r="L3059" s="1207"/>
      <c r="M3059" s="1146"/>
      <c r="N3059" s="193"/>
      <c r="O3059" s="34"/>
      <c r="P3059" s="283"/>
      <c r="Q3059" s="282"/>
      <c r="R3059" s="284"/>
    </row>
    <row r="3060" spans="1:24" ht="30" customHeight="1">
      <c r="A3060" s="652">
        <v>1.06</v>
      </c>
      <c r="B3060" s="1179" t="s">
        <v>1726</v>
      </c>
      <c r="C3060" s="1180"/>
      <c r="D3060" s="1181"/>
      <c r="E3060" s="153">
        <v>149</v>
      </c>
      <c r="F3060" s="22" t="s">
        <v>8</v>
      </c>
      <c r="G3060" s="702"/>
      <c r="H3060" s="703"/>
      <c r="I3060" s="20">
        <v>1.08</v>
      </c>
      <c r="J3060" s="20"/>
      <c r="K3060" s="153">
        <f>+E3060*I3060</f>
        <v>160.92000000000002</v>
      </c>
      <c r="L3060" s="20" t="s">
        <v>8</v>
      </c>
      <c r="M3060" s="1146"/>
      <c r="N3060" s="125"/>
      <c r="O3060" s="34"/>
      <c r="P3060" s="283"/>
      <c r="Q3060" s="282"/>
      <c r="R3060" s="284"/>
    </row>
    <row r="3061" spans="1:24" ht="30" customHeight="1">
      <c r="A3061" s="45" t="s">
        <v>574</v>
      </c>
      <c r="B3061" s="1267" t="s">
        <v>1727</v>
      </c>
      <c r="C3061" s="1267"/>
      <c r="D3061" s="1267"/>
      <c r="E3061" s="153">
        <v>3.48</v>
      </c>
      <c r="F3061" s="20" t="s">
        <v>8</v>
      </c>
      <c r="G3061" s="206"/>
      <c r="H3061" s="20"/>
      <c r="I3061" s="20">
        <v>1.08</v>
      </c>
      <c r="J3061" s="20"/>
      <c r="K3061" s="153">
        <f>+E3061*I3061</f>
        <v>3.7584000000000004</v>
      </c>
      <c r="L3061" s="20" t="s">
        <v>8</v>
      </c>
      <c r="M3061" s="1146"/>
      <c r="O3061"/>
      <c r="P3061" s="159"/>
      <c r="Q3061" s="147"/>
      <c r="R3061" s="149"/>
    </row>
    <row r="3062" spans="1:24" ht="30" customHeight="1">
      <c r="A3062" s="45"/>
      <c r="B3062" s="20"/>
      <c r="C3062" s="18"/>
      <c r="D3062" s="18"/>
      <c r="E3062" s="18"/>
      <c r="F3062" s="18"/>
      <c r="G3062" s="18"/>
      <c r="H3062" s="18"/>
      <c r="I3062" s="18"/>
      <c r="J3062" s="20" t="s">
        <v>346</v>
      </c>
      <c r="K3062" s="23">
        <f>SUM(K3060:K3061)</f>
        <v>164.67840000000001</v>
      </c>
      <c r="L3062" s="20" t="s">
        <v>8</v>
      </c>
      <c r="M3062" s="1146"/>
      <c r="O3062"/>
      <c r="P3062" s="159"/>
      <c r="Q3062" s="147"/>
      <c r="R3062" s="149"/>
    </row>
    <row r="3063" spans="1:24" ht="30" customHeight="1">
      <c r="A3063" s="45"/>
      <c r="B3063" s="157"/>
      <c r="C3063" s="157"/>
      <c r="D3063" s="157"/>
      <c r="E3063" s="153"/>
      <c r="F3063" s="1174" t="s">
        <v>308</v>
      </c>
      <c r="G3063" s="1208" t="s">
        <v>309</v>
      </c>
      <c r="H3063" s="1208"/>
      <c r="I3063" s="1208"/>
      <c r="J3063" s="1208"/>
      <c r="K3063" s="123">
        <v>1.07</v>
      </c>
      <c r="L3063" s="10"/>
      <c r="M3063" s="1146"/>
      <c r="N3063" s="1103"/>
      <c r="O3063"/>
      <c r="P3063" s="159"/>
      <c r="Q3063" s="147"/>
      <c r="R3063" s="149"/>
    </row>
    <row r="3064" spans="1:24" ht="30" customHeight="1">
      <c r="A3064" s="45"/>
      <c r="B3064" s="157"/>
      <c r="C3064" s="157"/>
      <c r="D3064" s="157"/>
      <c r="E3064" s="153"/>
      <c r="F3064" s="1175"/>
      <c r="G3064" s="1209" t="s">
        <v>310</v>
      </c>
      <c r="H3064" s="1209"/>
      <c r="I3064" s="1209"/>
      <c r="J3064" s="1209"/>
      <c r="K3064" s="123">
        <v>1.07</v>
      </c>
      <c r="L3064" s="10"/>
      <c r="M3064" s="1146"/>
      <c r="N3064" s="660"/>
      <c r="O3064"/>
      <c r="P3064" s="159"/>
      <c r="Q3064" s="147"/>
      <c r="R3064" s="149"/>
      <c r="T3064" s="38"/>
      <c r="U3064" s="38"/>
      <c r="V3064" s="38"/>
      <c r="W3064" s="38"/>
      <c r="X3064" s="38"/>
    </row>
    <row r="3065" spans="1:24" s="38" customFormat="1" ht="30" customHeight="1">
      <c r="A3065" s="45"/>
      <c r="B3065" s="20"/>
      <c r="C3065" s="18"/>
      <c r="D3065" s="18"/>
      <c r="E3065" s="18"/>
      <c r="F3065" s="18"/>
      <c r="G3065" s="18"/>
      <c r="H3065" s="18"/>
      <c r="I3065" s="18"/>
      <c r="J3065" s="20" t="s">
        <v>289</v>
      </c>
      <c r="K3065" s="23">
        <f>+K3062*K3063/K3064</f>
        <v>164.67840000000001</v>
      </c>
      <c r="L3065" s="20" t="s">
        <v>8</v>
      </c>
      <c r="M3065" s="1146"/>
      <c r="N3065" s="1103"/>
      <c r="P3065" s="159"/>
      <c r="Q3065" s="147"/>
      <c r="R3065" s="149"/>
      <c r="T3065"/>
      <c r="U3065"/>
      <c r="V3065"/>
      <c r="W3065"/>
      <c r="X3065"/>
    </row>
    <row r="3066" spans="1:24" ht="30" customHeight="1" thickBot="1">
      <c r="A3066" s="45"/>
      <c r="B3066" s="20"/>
      <c r="C3066" s="18"/>
      <c r="D3066" s="18"/>
      <c r="E3066" s="18"/>
      <c r="F3066" s="18"/>
      <c r="G3066" s="160" t="s">
        <v>312</v>
      </c>
      <c r="H3066" s="18"/>
      <c r="I3066" s="18"/>
      <c r="J3066" s="139">
        <f>VLOOKUP(B3058,'Mil Cost Premiums for RUCs'!$A$4:$R$266,18,FALSE)</f>
        <v>1.3319480854780448</v>
      </c>
      <c r="K3066" s="23">
        <f>+K3065*J3066</f>
        <v>219.34307959958767</v>
      </c>
      <c r="L3066" s="20" t="s">
        <v>8</v>
      </c>
      <c r="M3066" s="1146"/>
      <c r="N3066" s="1103"/>
      <c r="O3066"/>
      <c r="P3066" s="159"/>
      <c r="Q3066" s="147"/>
      <c r="R3066" s="149"/>
    </row>
    <row r="3067" spans="1:24" ht="30" customHeight="1" thickBot="1">
      <c r="A3067" s="1165"/>
      <c r="B3067" s="1166"/>
      <c r="C3067" s="1166"/>
      <c r="D3067" s="1166"/>
      <c r="E3067" s="1166"/>
      <c r="F3067" s="1166"/>
      <c r="G3067" s="1166"/>
      <c r="H3067" s="1166"/>
      <c r="I3067" s="1166"/>
      <c r="J3067" s="1166"/>
      <c r="K3067" s="1166"/>
      <c r="L3067" s="1167"/>
      <c r="M3067" s="1146"/>
      <c r="N3067" s="1103"/>
      <c r="O3067"/>
      <c r="P3067" s="159"/>
      <c r="Q3067" s="147"/>
      <c r="R3067" s="149"/>
    </row>
    <row r="3068" spans="1:24" ht="30" customHeight="1">
      <c r="A3068" s="27" t="s">
        <v>280</v>
      </c>
      <c r="B3068" s="82">
        <v>7387</v>
      </c>
      <c r="C3068" s="1197" t="s">
        <v>1728</v>
      </c>
      <c r="D3068" s="1198"/>
      <c r="E3068" s="74" t="s">
        <v>282</v>
      </c>
      <c r="F3068" s="75" t="s">
        <v>8</v>
      </c>
      <c r="G3068" s="58" t="s">
        <v>290</v>
      </c>
      <c r="H3068" s="76">
        <v>7217</v>
      </c>
      <c r="I3068" s="74" t="s">
        <v>283</v>
      </c>
      <c r="J3068" s="1199" t="s">
        <v>2529</v>
      </c>
      <c r="K3068" s="1199"/>
      <c r="L3068" s="1200"/>
      <c r="M3068" s="1146"/>
      <c r="N3068" s="282"/>
      <c r="O3068"/>
      <c r="P3068" s="159"/>
      <c r="Q3068" s="147"/>
      <c r="R3068" s="149"/>
    </row>
    <row r="3069" spans="1:24" ht="30" customHeight="1">
      <c r="A3069" s="37" t="s">
        <v>304</v>
      </c>
      <c r="B3069" s="1201" t="s">
        <v>330</v>
      </c>
      <c r="C3069" s="1202"/>
      <c r="D3069" s="1203"/>
      <c r="E3069" s="150" t="s">
        <v>295</v>
      </c>
      <c r="F3069" s="150" t="s">
        <v>331</v>
      </c>
      <c r="G3069" s="1204" t="s">
        <v>332</v>
      </c>
      <c r="H3069" s="1205"/>
      <c r="I3069" s="77" t="s">
        <v>305</v>
      </c>
      <c r="J3069" s="77"/>
      <c r="K3069" s="1206" t="s">
        <v>297</v>
      </c>
      <c r="L3069" s="1207"/>
      <c r="M3069" s="1146"/>
      <c r="N3069" s="282"/>
      <c r="O3069" s="34"/>
      <c r="P3069" s="283"/>
      <c r="Q3069" s="282"/>
      <c r="R3069" s="284"/>
    </row>
    <row r="3070" spans="1:24" ht="30" customHeight="1">
      <c r="A3070" s="652" t="s">
        <v>1638</v>
      </c>
      <c r="B3070" s="1179" t="s">
        <v>1639</v>
      </c>
      <c r="C3070" s="1180"/>
      <c r="D3070" s="1181"/>
      <c r="E3070" s="153">
        <v>80.34</v>
      </c>
      <c r="F3070" s="22" t="s">
        <v>8</v>
      </c>
      <c r="G3070" s="521"/>
      <c r="H3070" s="333"/>
      <c r="I3070" s="20">
        <v>1.05</v>
      </c>
      <c r="J3070" s="326"/>
      <c r="K3070" s="153">
        <f>+E3070*I3070</f>
        <v>84.357000000000014</v>
      </c>
      <c r="L3070" s="20" t="s">
        <v>8</v>
      </c>
      <c r="M3070" s="1146"/>
      <c r="N3070" s="1103"/>
      <c r="O3070" s="34"/>
      <c r="P3070" s="283"/>
      <c r="Q3070" s="282"/>
      <c r="R3070" s="284"/>
    </row>
    <row r="3071" spans="1:24" ht="30" customHeight="1">
      <c r="A3071" s="652" t="s">
        <v>393</v>
      </c>
      <c r="B3071" s="1179" t="s">
        <v>1729</v>
      </c>
      <c r="C3071" s="1180"/>
      <c r="D3071" s="1181"/>
      <c r="E3071" s="153">
        <v>48.88</v>
      </c>
      <c r="F3071" s="22" t="s">
        <v>8</v>
      </c>
      <c r="G3071" s="521"/>
      <c r="H3071" s="333"/>
      <c r="I3071" s="20">
        <v>1.05</v>
      </c>
      <c r="J3071" s="326"/>
      <c r="K3071" s="153">
        <f>+E3071*I3071</f>
        <v>51.324000000000005</v>
      </c>
      <c r="L3071" s="20" t="s">
        <v>8</v>
      </c>
      <c r="M3071" s="1146"/>
      <c r="N3071" s="1103"/>
      <c r="O3071"/>
      <c r="P3071" s="159"/>
      <c r="Q3071" s="147"/>
      <c r="R3071" s="149"/>
      <c r="T3071" s="32"/>
      <c r="U3071" s="34"/>
    </row>
    <row r="3072" spans="1:24" ht="30" customHeight="1">
      <c r="A3072" s="652" t="s">
        <v>1501</v>
      </c>
      <c r="B3072" s="1179" t="s">
        <v>1502</v>
      </c>
      <c r="C3072" s="1180"/>
      <c r="D3072" s="1181"/>
      <c r="E3072" s="153">
        <v>109.26</v>
      </c>
      <c r="F3072" s="22" t="s">
        <v>8</v>
      </c>
      <c r="G3072" s="521"/>
      <c r="H3072" s="333"/>
      <c r="I3072" s="20">
        <v>1.07</v>
      </c>
      <c r="J3072" s="20"/>
      <c r="K3072" s="153">
        <f>+E3072*I3072</f>
        <v>116.90820000000001</v>
      </c>
      <c r="L3072" s="20" t="s">
        <v>8</v>
      </c>
      <c r="M3072" s="1146"/>
      <c r="N3072" s="1103"/>
      <c r="O3072" s="33"/>
      <c r="P3072" s="32"/>
      <c r="Q3072" s="32"/>
      <c r="R3072" s="32"/>
      <c r="S3072" s="32"/>
      <c r="T3072" s="32"/>
      <c r="U3072" s="34"/>
    </row>
    <row r="3073" spans="1:24" ht="30" customHeight="1">
      <c r="A3073" s="652" t="s">
        <v>1730</v>
      </c>
      <c r="B3073" s="1179" t="s">
        <v>1731</v>
      </c>
      <c r="C3073" s="1180"/>
      <c r="D3073" s="1181"/>
      <c r="E3073" s="153">
        <v>54.94</v>
      </c>
      <c r="F3073" s="22" t="s">
        <v>8</v>
      </c>
      <c r="G3073" s="521"/>
      <c r="H3073" s="333"/>
      <c r="I3073" s="20">
        <v>1.05</v>
      </c>
      <c r="J3073" s="20"/>
      <c r="K3073" s="153">
        <f>+E3073*I3073</f>
        <v>57.686999999999998</v>
      </c>
      <c r="L3073" s="20" t="s">
        <v>8</v>
      </c>
      <c r="M3073" s="1146"/>
      <c r="N3073" s="1103"/>
      <c r="O3073" s="33"/>
      <c r="P3073" s="32"/>
      <c r="Q3073" s="32"/>
      <c r="R3073" s="32"/>
      <c r="S3073" s="32"/>
      <c r="T3073" s="32"/>
      <c r="U3073" s="32"/>
      <c r="V3073" s="32"/>
      <c r="W3073" s="32"/>
      <c r="X3073" s="32"/>
    </row>
    <row r="3074" spans="1:24" s="32" customFormat="1" ht="30" customHeight="1">
      <c r="A3074" s="652"/>
      <c r="B3074" s="1179" t="s">
        <v>1732</v>
      </c>
      <c r="C3074" s="1183"/>
      <c r="D3074" s="1184"/>
      <c r="E3074" s="153"/>
      <c r="F3074" s="521"/>
      <c r="G3074" s="521"/>
      <c r="H3074" s="333"/>
      <c r="I3074" s="267"/>
      <c r="J3074" s="20" t="s">
        <v>311</v>
      </c>
      <c r="K3074" s="153">
        <f>AVERAGE(K3070:K3073)</f>
        <v>77.569050000000004</v>
      </c>
      <c r="L3074" s="20" t="s">
        <v>8</v>
      </c>
      <c r="M3074" s="1146"/>
      <c r="N3074" s="1103"/>
      <c r="O3074" s="33"/>
      <c r="T3074" s="38"/>
      <c r="U3074" s="38"/>
      <c r="V3074" s="38"/>
      <c r="W3074" s="38"/>
      <c r="X3074" s="38"/>
    </row>
    <row r="3075" spans="1:24" s="38" customFormat="1" ht="30" customHeight="1">
      <c r="A3075" s="652" t="s">
        <v>377</v>
      </c>
      <c r="B3075" s="1267" t="s">
        <v>1709</v>
      </c>
      <c r="C3075" s="1267"/>
      <c r="D3075" s="1267"/>
      <c r="E3075" s="153">
        <v>3.4</v>
      </c>
      <c r="F3075" s="521" t="s">
        <v>8</v>
      </c>
      <c r="G3075" s="521"/>
      <c r="H3075" s="333"/>
      <c r="I3075" s="20">
        <v>1.05</v>
      </c>
      <c r="J3075" s="20"/>
      <c r="K3075" s="153">
        <f>+E3075*I3075</f>
        <v>3.57</v>
      </c>
      <c r="L3075" s="20" t="s">
        <v>8</v>
      </c>
      <c r="M3075" s="1146"/>
      <c r="N3075" s="1103"/>
      <c r="O3075" s="1119"/>
      <c r="T3075"/>
      <c r="U3075" s="32"/>
      <c r="V3075" s="32"/>
      <c r="W3075" s="32"/>
      <c r="X3075" s="32"/>
    </row>
    <row r="3076" spans="1:24" s="32" customFormat="1" ht="30" customHeight="1">
      <c r="A3076" s="45"/>
      <c r="B3076" s="1267"/>
      <c r="C3076" s="1267"/>
      <c r="D3076" s="1267"/>
      <c r="E3076" s="153"/>
      <c r="F3076" s="20"/>
      <c r="G3076" s="206"/>
      <c r="H3076" s="20"/>
      <c r="I3076" s="20"/>
      <c r="J3076" s="20" t="s">
        <v>346</v>
      </c>
      <c r="K3076" s="627">
        <f>SUM(K3074:K3075)</f>
        <v>81.139049999999997</v>
      </c>
      <c r="L3076" s="20" t="s">
        <v>8</v>
      </c>
      <c r="M3076" s="1146"/>
      <c r="N3076" s="1103"/>
      <c r="O3076" s="1119"/>
      <c r="P3076"/>
      <c r="Q3076"/>
      <c r="R3076"/>
      <c r="S3076"/>
      <c r="T3076"/>
    </row>
    <row r="3077" spans="1:24" s="32" customFormat="1" ht="30" customHeight="1">
      <c r="A3077" s="45"/>
      <c r="B3077" s="157"/>
      <c r="C3077" s="157"/>
      <c r="D3077" s="157"/>
      <c r="E3077" s="153"/>
      <c r="F3077" s="1174" t="s">
        <v>308</v>
      </c>
      <c r="G3077" s="1208" t="s">
        <v>309</v>
      </c>
      <c r="H3077" s="1208"/>
      <c r="I3077" s="1208"/>
      <c r="J3077" s="1208"/>
      <c r="K3077" s="123">
        <v>1.06</v>
      </c>
      <c r="L3077" s="10"/>
      <c r="M3077" s="1146"/>
      <c r="N3077" s="1103"/>
      <c r="O3077" s="1119"/>
      <c r="P3077"/>
      <c r="Q3077"/>
      <c r="R3077"/>
      <c r="S3077"/>
      <c r="T3077" s="44"/>
      <c r="U3077"/>
      <c r="V3077"/>
      <c r="W3077"/>
      <c r="X3077"/>
    </row>
    <row r="3078" spans="1:24" ht="30" customHeight="1">
      <c r="A3078" s="45"/>
      <c r="B3078" s="157"/>
      <c r="C3078" s="157"/>
      <c r="D3078" s="157"/>
      <c r="E3078" s="153"/>
      <c r="F3078" s="1175"/>
      <c r="G3078" s="1209" t="s">
        <v>310</v>
      </c>
      <c r="H3078" s="1209"/>
      <c r="I3078" s="1209"/>
      <c r="J3078" s="1209"/>
      <c r="K3078" s="123">
        <v>1.07</v>
      </c>
      <c r="L3078" s="10"/>
      <c r="M3078" s="1146"/>
      <c r="N3078" s="282"/>
      <c r="P3078" s="34"/>
      <c r="Q3078" s="34"/>
      <c r="R3078" s="34"/>
      <c r="S3078" s="44"/>
      <c r="T3078" s="44"/>
    </row>
    <row r="3079" spans="1:24" ht="30" customHeight="1">
      <c r="A3079" s="45"/>
      <c r="B3079" s="20"/>
      <c r="C3079" s="18"/>
      <c r="D3079" s="18"/>
      <c r="E3079" s="18"/>
      <c r="F3079" s="18"/>
      <c r="G3079" s="18"/>
      <c r="H3079" s="18"/>
      <c r="I3079" s="18"/>
      <c r="J3079" s="20" t="s">
        <v>289</v>
      </c>
      <c r="K3079" s="23">
        <f>+K3076*K3077/K3078</f>
        <v>80.380741121495333</v>
      </c>
      <c r="L3079" s="20" t="s">
        <v>8</v>
      </c>
      <c r="M3079" s="1146"/>
      <c r="N3079" s="282"/>
      <c r="P3079" s="34"/>
      <c r="Q3079" s="34"/>
      <c r="R3079" s="34"/>
      <c r="S3079" s="44"/>
      <c r="T3079" s="32"/>
      <c r="U3079" s="34"/>
    </row>
    <row r="3080" spans="1:24" ht="30" customHeight="1" thickBot="1">
      <c r="A3080" s="45"/>
      <c r="B3080" s="20"/>
      <c r="C3080" s="18"/>
      <c r="D3080" s="18"/>
      <c r="E3080" s="18"/>
      <c r="F3080" s="18"/>
      <c r="G3080" s="160" t="s">
        <v>312</v>
      </c>
      <c r="H3080" s="18"/>
      <c r="I3080" s="18"/>
      <c r="J3080" s="139">
        <f>VLOOKUP(B3068,'Mil Cost Premiums for RUCs'!$A$4:$R$266,18,FALSE)</f>
        <v>1.0209999999999999</v>
      </c>
      <c r="K3080" s="23">
        <f>+K3079*J3080</f>
        <v>82.06873668504673</v>
      </c>
      <c r="L3080" s="20" t="s">
        <v>8</v>
      </c>
      <c r="M3080" s="1146"/>
      <c r="N3080" s="1103"/>
      <c r="O3080" s="33"/>
      <c r="P3080" s="32"/>
      <c r="Q3080" s="32"/>
      <c r="R3080" s="32"/>
      <c r="S3080" s="32"/>
      <c r="U3080" s="34"/>
    </row>
    <row r="3081" spans="1:24" ht="30" customHeight="1" thickBot="1">
      <c r="A3081" s="1165"/>
      <c r="B3081" s="1166"/>
      <c r="C3081" s="1166"/>
      <c r="D3081" s="1166"/>
      <c r="E3081" s="1166"/>
      <c r="F3081" s="1166"/>
      <c r="G3081" s="1166"/>
      <c r="H3081" s="1166"/>
      <c r="I3081" s="1166"/>
      <c r="J3081" s="1166"/>
      <c r="K3081" s="1166"/>
      <c r="L3081" s="1167"/>
      <c r="M3081" s="1146"/>
      <c r="N3081" s="1103"/>
      <c r="U3081" s="32"/>
      <c r="V3081" s="32"/>
      <c r="W3081" s="32"/>
      <c r="X3081" s="32"/>
    </row>
    <row r="3082" spans="1:24" s="32" customFormat="1" ht="30" customHeight="1">
      <c r="A3082" s="81" t="s">
        <v>280</v>
      </c>
      <c r="B3082" s="82">
        <v>7388</v>
      </c>
      <c r="C3082" s="1228" t="s">
        <v>1733</v>
      </c>
      <c r="D3082" s="1229"/>
      <c r="E3082" s="74" t="s">
        <v>282</v>
      </c>
      <c r="F3082" s="75" t="s">
        <v>8</v>
      </c>
      <c r="G3082" s="58" t="s">
        <v>290</v>
      </c>
      <c r="H3082" s="104">
        <v>28266</v>
      </c>
      <c r="I3082" s="74" t="s">
        <v>283</v>
      </c>
      <c r="J3082" s="1199" t="s">
        <v>2569</v>
      </c>
      <c r="K3082" s="1230"/>
      <c r="L3082" s="1231"/>
      <c r="M3082" s="1146"/>
      <c r="N3082" s="1103"/>
      <c r="O3082" s="1119"/>
      <c r="P3082"/>
      <c r="Q3082"/>
      <c r="R3082"/>
      <c r="S3082"/>
      <c r="T3082" s="84"/>
      <c r="U3082" s="38"/>
      <c r="V3082" s="38"/>
      <c r="W3082" s="38"/>
      <c r="X3082" s="38"/>
    </row>
    <row r="3083" spans="1:24" s="38" customFormat="1" ht="30" customHeight="1">
      <c r="A3083" s="77" t="s">
        <v>293</v>
      </c>
      <c r="B3083" s="1232" t="s">
        <v>284</v>
      </c>
      <c r="C3083" s="1232"/>
      <c r="D3083" s="1232"/>
      <c r="E3083" s="96" t="s">
        <v>295</v>
      </c>
      <c r="F3083" s="77" t="s">
        <v>294</v>
      </c>
      <c r="G3083" s="1365" t="s">
        <v>332</v>
      </c>
      <c r="H3083" s="1366"/>
      <c r="I3083" s="1233" t="s">
        <v>426</v>
      </c>
      <c r="J3083" s="1234"/>
      <c r="K3083" s="1206" t="s">
        <v>297</v>
      </c>
      <c r="L3083" s="1207"/>
      <c r="M3083" s="1146"/>
      <c r="N3083" s="125"/>
      <c r="O3083" s="1119"/>
      <c r="P3083" s="39"/>
      <c r="Q3083" s="39"/>
      <c r="R3083" s="39"/>
      <c r="S3083" s="84"/>
      <c r="T3083" s="44"/>
      <c r="U3083"/>
      <c r="V3083"/>
      <c r="W3083"/>
      <c r="X3083"/>
    </row>
    <row r="3084" spans="1:24" ht="30" customHeight="1">
      <c r="A3084" s="20">
        <v>44220</v>
      </c>
      <c r="B3084" s="1176" t="s">
        <v>1734</v>
      </c>
      <c r="C3084" s="1177"/>
      <c r="D3084" s="1178"/>
      <c r="E3084" s="153">
        <v>175</v>
      </c>
      <c r="F3084" s="316">
        <v>28000</v>
      </c>
      <c r="G3084" s="529"/>
      <c r="H3084" s="286"/>
      <c r="I3084" s="1546">
        <f>+'2019 MILCON Inflation Table'!F18</f>
        <v>0.94232233454704462</v>
      </c>
      <c r="J3084" s="1547"/>
      <c r="K3084" s="106">
        <f>+E3084*I3084</f>
        <v>164.9064085457328</v>
      </c>
      <c r="L3084" s="97" t="s">
        <v>8</v>
      </c>
      <c r="M3084" s="1146"/>
      <c r="N3084" s="657"/>
      <c r="P3084" s="34"/>
      <c r="Q3084" s="34"/>
      <c r="R3084" s="34"/>
      <c r="S3084" s="44"/>
    </row>
    <row r="3085" spans="1:24" ht="30" customHeight="1" thickBot="1">
      <c r="A3085" s="20"/>
      <c r="B3085" s="1179"/>
      <c r="C3085" s="1180"/>
      <c r="D3085" s="1181"/>
      <c r="E3085" s="181"/>
      <c r="F3085" s="338"/>
      <c r="G3085" s="181"/>
      <c r="H3085" s="339"/>
      <c r="I3085" s="18"/>
      <c r="J3085" s="79" t="s">
        <v>289</v>
      </c>
      <c r="K3085" s="107">
        <f>SUM(K3084:K3084)</f>
        <v>164.9064085457328</v>
      </c>
      <c r="L3085" s="97" t="s">
        <v>8</v>
      </c>
      <c r="M3085" s="1146"/>
      <c r="N3085" s="125"/>
      <c r="O3085"/>
      <c r="P3085" s="159"/>
      <c r="Q3085" s="147"/>
      <c r="R3085" s="149"/>
      <c r="S3085" s="662"/>
    </row>
    <row r="3086" spans="1:24" ht="30" customHeight="1" thickBot="1">
      <c r="A3086" s="1165"/>
      <c r="B3086" s="1166"/>
      <c r="C3086" s="1166"/>
      <c r="D3086" s="1166"/>
      <c r="E3086" s="1166"/>
      <c r="F3086" s="1166"/>
      <c r="G3086" s="1166"/>
      <c r="H3086" s="1166"/>
      <c r="I3086" s="1166"/>
      <c r="J3086" s="1166"/>
      <c r="K3086" s="1166"/>
      <c r="L3086" s="1167"/>
      <c r="M3086" s="1146"/>
      <c r="N3086" s="125"/>
      <c r="O3086"/>
      <c r="P3086" s="159"/>
      <c r="Q3086" s="147"/>
      <c r="R3086" s="149"/>
    </row>
    <row r="3087" spans="1:24" ht="30" customHeight="1">
      <c r="A3087" s="81" t="s">
        <v>280</v>
      </c>
      <c r="B3087" s="82">
        <v>7389</v>
      </c>
      <c r="C3087" s="1228" t="s">
        <v>1735</v>
      </c>
      <c r="D3087" s="1229"/>
      <c r="E3087" s="74" t="s">
        <v>282</v>
      </c>
      <c r="F3087" s="75" t="s">
        <v>8</v>
      </c>
      <c r="G3087" s="58" t="s">
        <v>290</v>
      </c>
      <c r="H3087" s="104">
        <v>4260</v>
      </c>
      <c r="I3087" s="74" t="s">
        <v>283</v>
      </c>
      <c r="J3087" s="1199" t="s">
        <v>1305</v>
      </c>
      <c r="K3087" s="1230"/>
      <c r="L3087" s="1231"/>
      <c r="M3087" s="1146"/>
      <c r="N3087" s="1104"/>
      <c r="O3087"/>
      <c r="P3087" s="159"/>
      <c r="Q3087" s="147"/>
      <c r="R3087" s="149"/>
      <c r="T3087" s="38"/>
      <c r="U3087" s="38"/>
      <c r="V3087" s="38"/>
      <c r="W3087" s="38"/>
      <c r="X3087" s="38"/>
    </row>
    <row r="3088" spans="1:24" s="38" customFormat="1" ht="30" customHeight="1">
      <c r="A3088" s="77" t="s">
        <v>293</v>
      </c>
      <c r="B3088" s="1232" t="s">
        <v>284</v>
      </c>
      <c r="C3088" s="1232"/>
      <c r="D3088" s="1232"/>
      <c r="E3088" s="96" t="s">
        <v>295</v>
      </c>
      <c r="F3088" s="77" t="s">
        <v>294</v>
      </c>
      <c r="G3088" s="1365" t="s">
        <v>332</v>
      </c>
      <c r="H3088" s="1366"/>
      <c r="I3088" s="1233" t="s">
        <v>426</v>
      </c>
      <c r="J3088" s="1234"/>
      <c r="K3088" s="1303" t="s">
        <v>297</v>
      </c>
      <c r="L3088" s="1304"/>
      <c r="M3088" s="1146"/>
      <c r="N3088" s="25"/>
      <c r="P3088" s="159"/>
      <c r="Q3088" s="147"/>
      <c r="R3088" s="149"/>
      <c r="T3088"/>
      <c r="U3088"/>
      <c r="V3088"/>
      <c r="W3088"/>
      <c r="X3088"/>
    </row>
    <row r="3089" spans="1:18" ht="30" customHeight="1">
      <c r="A3089" s="20">
        <v>14113</v>
      </c>
      <c r="B3089" s="1179" t="s">
        <v>2766</v>
      </c>
      <c r="C3089" s="1180"/>
      <c r="D3089" s="1181"/>
      <c r="E3089" s="153">
        <v>144</v>
      </c>
      <c r="F3089" s="316">
        <v>2300</v>
      </c>
      <c r="G3089" s="529"/>
      <c r="H3089" s="286"/>
      <c r="I3089" s="1546">
        <f>+'2019 MILCON Inflation Table'!F12</f>
        <v>1.1382049245432884</v>
      </c>
      <c r="J3089" s="1547"/>
      <c r="K3089" s="106">
        <f>+E3089*I3089</f>
        <v>163.90150913423352</v>
      </c>
      <c r="L3089" s="97" t="s">
        <v>8</v>
      </c>
      <c r="M3089" s="1146"/>
      <c r="O3089"/>
      <c r="P3089" s="159"/>
      <c r="Q3089" s="147"/>
      <c r="R3089" s="149"/>
    </row>
    <row r="3090" spans="1:18" ht="30" customHeight="1">
      <c r="A3090" s="20">
        <v>14113</v>
      </c>
      <c r="B3090" s="1179" t="s">
        <v>2767</v>
      </c>
      <c r="C3090" s="1180"/>
      <c r="D3090" s="1181"/>
      <c r="E3090" s="1082">
        <v>155</v>
      </c>
      <c r="F3090" s="316">
        <v>1530</v>
      </c>
      <c r="G3090" s="286"/>
      <c r="H3090" s="286"/>
      <c r="I3090" s="1546">
        <f>+'2019 MILCON Inflation Table'!F18</f>
        <v>0.94232233454704462</v>
      </c>
      <c r="J3090" s="1547"/>
      <c r="K3090" s="106">
        <f>+E3090*I3090</f>
        <v>146.05996185479191</v>
      </c>
      <c r="L3090" s="97" t="s">
        <v>8</v>
      </c>
      <c r="M3090" s="1146"/>
      <c r="O3090"/>
      <c r="P3090" s="159"/>
      <c r="Q3090" s="147"/>
      <c r="R3090" s="149"/>
    </row>
    <row r="3091" spans="1:18" ht="30" customHeight="1" thickBot="1">
      <c r="A3091" s="20"/>
      <c r="B3091" s="1179"/>
      <c r="C3091" s="1180"/>
      <c r="D3091" s="1181"/>
      <c r="E3091" s="181"/>
      <c r="F3091" s="338"/>
      <c r="G3091" s="181"/>
      <c r="H3091" s="339"/>
      <c r="I3091" s="18"/>
      <c r="J3091" s="79" t="s">
        <v>289</v>
      </c>
      <c r="K3091" s="107">
        <f>AVERAGE(K3089,K3090)</f>
        <v>154.98073549451271</v>
      </c>
      <c r="L3091" s="97" t="s">
        <v>8</v>
      </c>
      <c r="M3091" s="1146"/>
      <c r="N3091" s="663"/>
      <c r="O3091"/>
      <c r="P3091" s="159"/>
      <c r="Q3091" s="147"/>
      <c r="R3091" s="149"/>
    </row>
    <row r="3092" spans="1:18" ht="30" customHeight="1" thickBot="1">
      <c r="A3092" s="1165"/>
      <c r="B3092" s="1166"/>
      <c r="C3092" s="1166"/>
      <c r="D3092" s="1166"/>
      <c r="E3092" s="1166"/>
      <c r="F3092" s="1166"/>
      <c r="G3092" s="1166"/>
      <c r="H3092" s="1166"/>
      <c r="I3092" s="1166"/>
      <c r="J3092" s="1166"/>
      <c r="K3092" s="1166"/>
      <c r="L3092" s="1167"/>
      <c r="M3092" s="1146"/>
      <c r="N3092" s="193"/>
      <c r="O3092"/>
      <c r="P3092" s="159"/>
      <c r="Q3092" s="147"/>
      <c r="R3092" s="149"/>
    </row>
    <row r="3093" spans="1:18" ht="30" customHeight="1">
      <c r="A3093" s="27" t="s">
        <v>280</v>
      </c>
      <c r="B3093" s="82">
        <v>7411</v>
      </c>
      <c r="C3093" s="1197" t="s">
        <v>1736</v>
      </c>
      <c r="D3093" s="1198"/>
      <c r="E3093" s="74" t="s">
        <v>282</v>
      </c>
      <c r="F3093" s="75" t="s">
        <v>8</v>
      </c>
      <c r="G3093" s="58" t="s">
        <v>290</v>
      </c>
      <c r="H3093" s="76">
        <v>8394</v>
      </c>
      <c r="I3093" s="74" t="s">
        <v>283</v>
      </c>
      <c r="J3093" s="1199" t="s">
        <v>2529</v>
      </c>
      <c r="K3093" s="1199"/>
      <c r="L3093" s="1200"/>
      <c r="M3093" s="1146"/>
      <c r="O3093"/>
      <c r="P3093" s="159"/>
      <c r="Q3093" s="147"/>
      <c r="R3093" s="149"/>
    </row>
    <row r="3094" spans="1:18" ht="30" customHeight="1">
      <c r="A3094" s="37" t="s">
        <v>304</v>
      </c>
      <c r="B3094" s="1201" t="s">
        <v>330</v>
      </c>
      <c r="C3094" s="1202"/>
      <c r="D3094" s="1203"/>
      <c r="E3094" s="150" t="s">
        <v>295</v>
      </c>
      <c r="F3094" s="150" t="s">
        <v>331</v>
      </c>
      <c r="G3094" s="1204" t="s">
        <v>332</v>
      </c>
      <c r="H3094" s="1205"/>
      <c r="I3094" s="77" t="s">
        <v>305</v>
      </c>
      <c r="J3094" s="77"/>
      <c r="K3094" s="1206" t="s">
        <v>297</v>
      </c>
      <c r="L3094" s="1207"/>
      <c r="M3094" s="1146"/>
      <c r="O3094"/>
      <c r="P3094" s="159"/>
      <c r="Q3094" s="147"/>
      <c r="R3094" s="149"/>
    </row>
    <row r="3095" spans="1:18" ht="30" customHeight="1">
      <c r="A3095" s="652" t="s">
        <v>1707</v>
      </c>
      <c r="B3095" s="1179" t="s">
        <v>1708</v>
      </c>
      <c r="C3095" s="1180"/>
      <c r="D3095" s="1181"/>
      <c r="E3095" s="153">
        <v>117.9</v>
      </c>
      <c r="F3095" s="22" t="s">
        <v>8</v>
      </c>
      <c r="G3095" s="702"/>
      <c r="H3095" s="703"/>
      <c r="I3095" s="20">
        <v>1.07</v>
      </c>
      <c r="J3095" s="20"/>
      <c r="K3095" s="153">
        <f>+E3095*I3095</f>
        <v>126.15300000000002</v>
      </c>
      <c r="L3095" s="20" t="s">
        <v>8</v>
      </c>
      <c r="M3095" s="1146"/>
      <c r="O3095"/>
      <c r="P3095" s="159"/>
      <c r="Q3095" s="147"/>
      <c r="R3095" s="149"/>
    </row>
    <row r="3096" spans="1:18" ht="30" customHeight="1">
      <c r="A3096" s="45" t="s">
        <v>418</v>
      </c>
      <c r="B3096" s="1267" t="s">
        <v>1737</v>
      </c>
      <c r="C3096" s="1267"/>
      <c r="D3096" s="1267"/>
      <c r="E3096" s="153">
        <v>3.71</v>
      </c>
      <c r="F3096" s="20" t="s">
        <v>8</v>
      </c>
      <c r="G3096" s="206"/>
      <c r="H3096" s="20"/>
      <c r="I3096" s="20">
        <v>1.07</v>
      </c>
      <c r="J3096" s="20"/>
      <c r="K3096" s="153">
        <f>+E3096*I3096</f>
        <v>3.9697</v>
      </c>
      <c r="L3096" s="20" t="s">
        <v>8</v>
      </c>
      <c r="M3096" s="1146"/>
      <c r="N3096" s="1103"/>
      <c r="O3096"/>
      <c r="P3096" s="159"/>
      <c r="Q3096" s="147"/>
      <c r="R3096" s="149"/>
    </row>
    <row r="3097" spans="1:18" ht="30" customHeight="1">
      <c r="A3097" s="45"/>
      <c r="B3097" s="20"/>
      <c r="C3097" s="18"/>
      <c r="D3097" s="18"/>
      <c r="E3097" s="18"/>
      <c r="F3097" s="18"/>
      <c r="G3097" s="18"/>
      <c r="H3097" s="18"/>
      <c r="I3097" s="18"/>
      <c r="J3097" s="20" t="s">
        <v>346</v>
      </c>
      <c r="K3097" s="23">
        <f>SUM(K3095:K3096)</f>
        <v>130.12270000000001</v>
      </c>
      <c r="L3097" s="20" t="s">
        <v>8</v>
      </c>
      <c r="M3097" s="1146"/>
      <c r="N3097" s="1103"/>
      <c r="O3097"/>
      <c r="P3097" s="159"/>
      <c r="Q3097" s="147"/>
      <c r="R3097" s="149"/>
    </row>
    <row r="3098" spans="1:18" ht="30" customHeight="1">
      <c r="A3098" s="45"/>
      <c r="B3098" s="157"/>
      <c r="C3098" s="157"/>
      <c r="D3098" s="157"/>
      <c r="E3098" s="153"/>
      <c r="F3098" s="1174" t="s">
        <v>308</v>
      </c>
      <c r="G3098" s="1208" t="s">
        <v>309</v>
      </c>
      <c r="H3098" s="1208"/>
      <c r="I3098" s="1208"/>
      <c r="J3098" s="1208"/>
      <c r="K3098" s="123">
        <v>1.06</v>
      </c>
      <c r="L3098" s="10"/>
      <c r="M3098" s="1146"/>
      <c r="N3098" s="1103"/>
      <c r="O3098" s="34"/>
      <c r="P3098" s="283"/>
      <c r="Q3098" s="282"/>
      <c r="R3098" s="284"/>
    </row>
    <row r="3099" spans="1:18" ht="30" customHeight="1">
      <c r="A3099" s="45"/>
      <c r="B3099" s="157"/>
      <c r="C3099" s="157"/>
      <c r="D3099" s="157"/>
      <c r="E3099" s="153"/>
      <c r="F3099" s="1175"/>
      <c r="G3099" s="1209" t="s">
        <v>310</v>
      </c>
      <c r="H3099" s="1209"/>
      <c r="I3099" s="1209"/>
      <c r="J3099" s="1209"/>
      <c r="K3099" s="123">
        <v>1.07</v>
      </c>
      <c r="L3099" s="10"/>
      <c r="M3099" s="1146"/>
      <c r="N3099" s="1103"/>
      <c r="O3099" s="34"/>
      <c r="P3099" s="283"/>
      <c r="Q3099" s="282"/>
      <c r="R3099" s="284"/>
    </row>
    <row r="3100" spans="1:18" ht="30" customHeight="1">
      <c r="A3100" s="45"/>
      <c r="B3100" s="20"/>
      <c r="C3100" s="18"/>
      <c r="D3100" s="18"/>
      <c r="E3100" s="18"/>
      <c r="F3100" s="18"/>
      <c r="G3100" s="18"/>
      <c r="H3100" s="18"/>
      <c r="I3100" s="18"/>
      <c r="J3100" s="20" t="s">
        <v>289</v>
      </c>
      <c r="K3100" s="23">
        <f>+K3097*K3098/K3099</f>
        <v>128.90660000000003</v>
      </c>
      <c r="L3100" s="20" t="s">
        <v>8</v>
      </c>
      <c r="M3100" s="1146"/>
      <c r="N3100" s="1103"/>
      <c r="O3100"/>
      <c r="P3100" s="159"/>
      <c r="Q3100" s="147"/>
      <c r="R3100" s="149"/>
    </row>
    <row r="3101" spans="1:18" ht="30" customHeight="1" thickBot="1">
      <c r="A3101" s="45"/>
      <c r="B3101" s="20"/>
      <c r="C3101" s="18"/>
      <c r="D3101" s="18"/>
      <c r="E3101" s="18"/>
      <c r="F3101" s="18"/>
      <c r="G3101" s="160" t="s">
        <v>312</v>
      </c>
      <c r="H3101" s="18"/>
      <c r="I3101" s="18"/>
      <c r="J3101" s="139">
        <f>VLOOKUP(B3093,'Mil Cost Premiums for RUCs'!$A$4:$R$266,18,FALSE)</f>
        <v>1.0209999999999999</v>
      </c>
      <c r="K3101" s="23">
        <f>+K3100*J3101</f>
        <v>131.6136386</v>
      </c>
      <c r="L3101" s="20" t="s">
        <v>8</v>
      </c>
      <c r="M3101" s="1146"/>
      <c r="N3101" s="1103"/>
      <c r="O3101"/>
      <c r="P3101" s="159"/>
      <c r="Q3101" s="147"/>
      <c r="R3101" s="149"/>
    </row>
    <row r="3102" spans="1:18" ht="30" customHeight="1" thickBot="1">
      <c r="A3102" s="1165"/>
      <c r="B3102" s="1166"/>
      <c r="C3102" s="1166"/>
      <c r="D3102" s="1166"/>
      <c r="E3102" s="1166"/>
      <c r="F3102" s="1166"/>
      <c r="G3102" s="1166"/>
      <c r="H3102" s="1166"/>
      <c r="I3102" s="1166"/>
      <c r="J3102" s="1166"/>
      <c r="K3102" s="1166"/>
      <c r="L3102" s="1167"/>
      <c r="M3102" s="1146"/>
      <c r="N3102" s="1103"/>
      <c r="O3102"/>
      <c r="P3102" s="159"/>
      <c r="Q3102" s="147"/>
      <c r="R3102" s="149"/>
    </row>
    <row r="3103" spans="1:18" ht="30" customHeight="1">
      <c r="A3103" s="27" t="s">
        <v>280</v>
      </c>
      <c r="B3103" s="82">
        <v>7412</v>
      </c>
      <c r="C3103" s="1197" t="s">
        <v>1738</v>
      </c>
      <c r="D3103" s="1198"/>
      <c r="E3103" s="74" t="s">
        <v>282</v>
      </c>
      <c r="F3103" s="75" t="s">
        <v>8</v>
      </c>
      <c r="G3103" s="58" t="s">
        <v>290</v>
      </c>
      <c r="H3103" s="76">
        <v>6743</v>
      </c>
      <c r="I3103" s="74" t="s">
        <v>283</v>
      </c>
      <c r="J3103" s="1199" t="s">
        <v>2529</v>
      </c>
      <c r="K3103" s="1199"/>
      <c r="L3103" s="1200"/>
      <c r="M3103" s="1146"/>
      <c r="N3103" s="1103"/>
      <c r="O3103"/>
      <c r="P3103" s="159"/>
      <c r="Q3103" s="147"/>
      <c r="R3103" s="149"/>
    </row>
    <row r="3104" spans="1:18" ht="30" customHeight="1">
      <c r="A3104" s="37" t="s">
        <v>304</v>
      </c>
      <c r="B3104" s="1201" t="s">
        <v>330</v>
      </c>
      <c r="C3104" s="1202"/>
      <c r="D3104" s="1203"/>
      <c r="E3104" s="150" t="s">
        <v>295</v>
      </c>
      <c r="F3104" s="150" t="s">
        <v>331</v>
      </c>
      <c r="G3104" s="1204" t="s">
        <v>332</v>
      </c>
      <c r="H3104" s="1205"/>
      <c r="I3104" s="77" t="s">
        <v>305</v>
      </c>
      <c r="J3104" s="77"/>
      <c r="K3104" s="1206" t="s">
        <v>297</v>
      </c>
      <c r="L3104" s="1207"/>
      <c r="M3104" s="1146"/>
      <c r="N3104" s="1116"/>
      <c r="O3104"/>
      <c r="P3104" s="159"/>
      <c r="Q3104" s="147"/>
      <c r="R3104" s="149"/>
    </row>
    <row r="3105" spans="1:24" ht="30" customHeight="1">
      <c r="A3105" s="652" t="s">
        <v>1730</v>
      </c>
      <c r="B3105" s="1179" t="s">
        <v>1731</v>
      </c>
      <c r="C3105" s="1180"/>
      <c r="D3105" s="1181"/>
      <c r="E3105" s="153">
        <v>54.94</v>
      </c>
      <c r="F3105" s="22" t="s">
        <v>8</v>
      </c>
      <c r="G3105" s="702"/>
      <c r="H3105" s="703"/>
      <c r="I3105" s="20">
        <v>1.05</v>
      </c>
      <c r="J3105" s="20"/>
      <c r="K3105" s="153">
        <f>+E3105*I3105</f>
        <v>57.686999999999998</v>
      </c>
      <c r="L3105" s="20" t="s">
        <v>8</v>
      </c>
      <c r="M3105" s="1146"/>
      <c r="N3105" s="1116"/>
      <c r="O3105"/>
      <c r="P3105" s="159"/>
      <c r="Q3105" s="147"/>
      <c r="R3105" s="149"/>
    </row>
    <row r="3106" spans="1:24" ht="30" customHeight="1">
      <c r="A3106" s="45" t="s">
        <v>377</v>
      </c>
      <c r="B3106" s="1267" t="s">
        <v>1709</v>
      </c>
      <c r="C3106" s="1267"/>
      <c r="D3106" s="1267"/>
      <c r="E3106" s="153">
        <v>3.4</v>
      </c>
      <c r="F3106" s="20" t="s">
        <v>8</v>
      </c>
      <c r="G3106" s="206"/>
      <c r="H3106" s="20"/>
      <c r="I3106" s="20">
        <v>1.05</v>
      </c>
      <c r="J3106" s="20"/>
      <c r="K3106" s="153">
        <f>+E3106*I3106</f>
        <v>3.57</v>
      </c>
      <c r="L3106" s="20" t="s">
        <v>8</v>
      </c>
      <c r="M3106" s="1146"/>
      <c r="N3106" s="1103"/>
      <c r="O3106"/>
      <c r="P3106" s="159"/>
      <c r="Q3106" s="147"/>
      <c r="R3106" s="149"/>
    </row>
    <row r="3107" spans="1:24" ht="30" customHeight="1">
      <c r="A3107" s="45"/>
      <c r="B3107" s="20"/>
      <c r="C3107" s="18"/>
      <c r="D3107" s="18"/>
      <c r="E3107" s="18"/>
      <c r="F3107" s="18"/>
      <c r="G3107" s="18"/>
      <c r="H3107" s="18"/>
      <c r="I3107" s="18"/>
      <c r="J3107" s="20" t="s">
        <v>346</v>
      </c>
      <c r="K3107" s="23">
        <f>SUM(K3105:K3106)</f>
        <v>61.256999999999998</v>
      </c>
      <c r="L3107" s="20" t="s">
        <v>8</v>
      </c>
      <c r="M3107" s="1146"/>
      <c r="N3107" s="282"/>
      <c r="O3107"/>
      <c r="P3107" s="159"/>
      <c r="Q3107" s="147"/>
      <c r="R3107" s="149"/>
    </row>
    <row r="3108" spans="1:24" ht="30" customHeight="1">
      <c r="A3108" s="45"/>
      <c r="B3108" s="157"/>
      <c r="C3108" s="157"/>
      <c r="D3108" s="157"/>
      <c r="E3108" s="153"/>
      <c r="F3108" s="1174" t="s">
        <v>308</v>
      </c>
      <c r="G3108" s="1208" t="s">
        <v>309</v>
      </c>
      <c r="H3108" s="1208"/>
      <c r="I3108" s="1208"/>
      <c r="J3108" s="1208"/>
      <c r="K3108" s="123">
        <v>1.06</v>
      </c>
      <c r="L3108" s="10"/>
      <c r="M3108" s="1146"/>
      <c r="N3108" s="282"/>
      <c r="O3108"/>
      <c r="P3108" s="159"/>
      <c r="Q3108" s="147"/>
      <c r="R3108" s="149"/>
    </row>
    <row r="3109" spans="1:24" ht="30" customHeight="1">
      <c r="A3109" s="45"/>
      <c r="B3109" s="157"/>
      <c r="C3109" s="157"/>
      <c r="D3109" s="157"/>
      <c r="E3109" s="153"/>
      <c r="F3109" s="1175"/>
      <c r="G3109" s="1209" t="s">
        <v>310</v>
      </c>
      <c r="H3109" s="1209"/>
      <c r="I3109" s="1209"/>
      <c r="J3109" s="1209"/>
      <c r="K3109" s="123">
        <v>1.07</v>
      </c>
      <c r="L3109" s="10"/>
      <c r="M3109" s="1146"/>
      <c r="N3109" s="1103"/>
      <c r="O3109"/>
      <c r="P3109" s="159"/>
      <c r="Q3109" s="147"/>
      <c r="R3109" s="149"/>
    </row>
    <row r="3110" spans="1:24" ht="30" customHeight="1">
      <c r="A3110" s="45"/>
      <c r="B3110" s="20"/>
      <c r="C3110" s="18"/>
      <c r="D3110" s="18"/>
      <c r="E3110" s="18"/>
      <c r="F3110" s="18"/>
      <c r="G3110" s="18"/>
      <c r="H3110" s="18"/>
      <c r="I3110" s="18"/>
      <c r="J3110" s="20" t="s">
        <v>289</v>
      </c>
      <c r="K3110" s="23">
        <f>+K3107*K3108/K3109</f>
        <v>60.684504672897198</v>
      </c>
      <c r="L3110" s="20" t="s">
        <v>8</v>
      </c>
      <c r="M3110" s="1146"/>
      <c r="N3110" s="1103"/>
      <c r="O3110"/>
      <c r="P3110" s="159"/>
      <c r="Q3110" s="147"/>
      <c r="R3110" s="149"/>
    </row>
    <row r="3111" spans="1:24" ht="30" customHeight="1" thickBot="1">
      <c r="A3111" s="45"/>
      <c r="B3111" s="20"/>
      <c r="C3111" s="18"/>
      <c r="D3111" s="18"/>
      <c r="E3111" s="18"/>
      <c r="F3111" s="18"/>
      <c r="G3111" s="160" t="s">
        <v>312</v>
      </c>
      <c r="H3111" s="18"/>
      <c r="I3111" s="18"/>
      <c r="J3111" s="139">
        <f>VLOOKUP(B3103,'Mil Cost Premiums for RUCs'!$A$4:$R$266,18,FALSE)</f>
        <v>1.0240629999999997</v>
      </c>
      <c r="K3111" s="23">
        <f>+K3110*J3111</f>
        <v>62.144755908841105</v>
      </c>
      <c r="L3111" s="20" t="s">
        <v>8</v>
      </c>
      <c r="M3111" s="1146"/>
      <c r="N3111" s="1103"/>
      <c r="O3111"/>
      <c r="P3111" s="159"/>
      <c r="Q3111" s="147"/>
      <c r="R3111" s="149"/>
    </row>
    <row r="3112" spans="1:24" ht="30" customHeight="1" thickBot="1">
      <c r="A3112" s="1165"/>
      <c r="B3112" s="1166"/>
      <c r="C3112" s="1166"/>
      <c r="D3112" s="1166"/>
      <c r="E3112" s="1166"/>
      <c r="F3112" s="1166"/>
      <c r="G3112" s="1166"/>
      <c r="H3112" s="1166"/>
      <c r="I3112" s="1166"/>
      <c r="J3112" s="1166"/>
      <c r="K3112" s="1166"/>
      <c r="L3112" s="1167"/>
      <c r="M3112" s="1146"/>
      <c r="N3112" s="1103"/>
      <c r="O3112"/>
      <c r="P3112" s="159"/>
      <c r="Q3112" s="147"/>
      <c r="R3112" s="149"/>
    </row>
    <row r="3113" spans="1:24" ht="30" customHeight="1">
      <c r="A3113" s="27" t="s">
        <v>280</v>
      </c>
      <c r="B3113" s="82">
        <v>7413</v>
      </c>
      <c r="C3113" s="1197" t="s">
        <v>1739</v>
      </c>
      <c r="D3113" s="1198"/>
      <c r="E3113" s="74" t="s">
        <v>282</v>
      </c>
      <c r="F3113" s="75" t="s">
        <v>8</v>
      </c>
      <c r="G3113" s="58" t="s">
        <v>290</v>
      </c>
      <c r="H3113" s="76">
        <v>4279</v>
      </c>
      <c r="I3113" s="74" t="s">
        <v>283</v>
      </c>
      <c r="J3113" s="1199" t="s">
        <v>2529</v>
      </c>
      <c r="K3113" s="1199"/>
      <c r="L3113" s="1200"/>
      <c r="M3113" s="1146"/>
      <c r="N3113" s="657"/>
      <c r="O3113" s="664"/>
      <c r="P3113" s="589"/>
      <c r="Q3113" s="589"/>
      <c r="R3113" s="665"/>
      <c r="T3113" s="38"/>
      <c r="U3113" s="38"/>
      <c r="V3113" s="38"/>
      <c r="W3113" s="38"/>
      <c r="X3113" s="38"/>
    </row>
    <row r="3114" spans="1:24" s="38" customFormat="1" ht="30" customHeight="1">
      <c r="A3114" s="37" t="s">
        <v>304</v>
      </c>
      <c r="B3114" s="1201" t="s">
        <v>330</v>
      </c>
      <c r="C3114" s="1202"/>
      <c r="D3114" s="1203"/>
      <c r="E3114" s="150" t="s">
        <v>295</v>
      </c>
      <c r="F3114" s="150" t="s">
        <v>331</v>
      </c>
      <c r="G3114" s="1204" t="s">
        <v>332</v>
      </c>
      <c r="H3114" s="1205"/>
      <c r="I3114" s="77" t="s">
        <v>305</v>
      </c>
      <c r="J3114" s="77"/>
      <c r="K3114" s="1206" t="s">
        <v>297</v>
      </c>
      <c r="L3114" s="1207"/>
      <c r="M3114" s="1146"/>
      <c r="N3114" s="1103"/>
      <c r="P3114" s="159"/>
      <c r="Q3114" s="147"/>
      <c r="R3114" s="149"/>
      <c r="T3114"/>
      <c r="U3114"/>
      <c r="V3114"/>
      <c r="W3114"/>
      <c r="X3114"/>
    </row>
    <row r="3115" spans="1:24" ht="30" customHeight="1">
      <c r="A3115" s="652" t="s">
        <v>1740</v>
      </c>
      <c r="B3115" s="1179" t="s">
        <v>1741</v>
      </c>
      <c r="C3115" s="1180"/>
      <c r="D3115" s="1181"/>
      <c r="E3115" s="153">
        <v>97</v>
      </c>
      <c r="F3115" s="22" t="s">
        <v>8</v>
      </c>
      <c r="G3115" s="702"/>
      <c r="H3115" s="703"/>
      <c r="I3115" s="326">
        <v>1.1000000000000001</v>
      </c>
      <c r="J3115" s="20"/>
      <c r="K3115" s="153">
        <f>+E3115*I3115</f>
        <v>106.7</v>
      </c>
      <c r="L3115" s="20" t="s">
        <v>8</v>
      </c>
      <c r="M3115" s="1146"/>
      <c r="N3115" s="1103"/>
      <c r="O3115"/>
      <c r="P3115" s="159"/>
      <c r="Q3115" s="147"/>
      <c r="R3115" s="149"/>
    </row>
    <row r="3116" spans="1:24" ht="30" customHeight="1">
      <c r="A3116" s="629" t="s">
        <v>1435</v>
      </c>
      <c r="B3116" s="1267" t="s">
        <v>1714</v>
      </c>
      <c r="C3116" s="1267"/>
      <c r="D3116" s="1267"/>
      <c r="E3116" s="153">
        <v>3.8</v>
      </c>
      <c r="F3116" s="20" t="s">
        <v>8</v>
      </c>
      <c r="G3116" s="206"/>
      <c r="H3116" s="20"/>
      <c r="I3116" s="326">
        <v>1.1000000000000001</v>
      </c>
      <c r="J3116" s="20"/>
      <c r="K3116" s="153">
        <f>+E3116*I3116</f>
        <v>4.18</v>
      </c>
      <c r="L3116" s="20" t="s">
        <v>8</v>
      </c>
      <c r="M3116" s="1146"/>
      <c r="N3116" s="1103"/>
      <c r="O3116"/>
      <c r="P3116" s="159"/>
      <c r="Q3116" s="147"/>
      <c r="R3116" s="149"/>
    </row>
    <row r="3117" spans="1:24" ht="30" customHeight="1">
      <c r="A3117" s="45"/>
      <c r="B3117" s="20"/>
      <c r="C3117" s="18"/>
      <c r="D3117" s="18"/>
      <c r="E3117" s="18"/>
      <c r="F3117" s="18"/>
      <c r="G3117" s="160"/>
      <c r="H3117" s="18"/>
      <c r="I3117" s="18"/>
      <c r="J3117" s="20" t="s">
        <v>346</v>
      </c>
      <c r="K3117" s="23">
        <f>SUM(K3115:K3116)</f>
        <v>110.88</v>
      </c>
      <c r="L3117" s="20" t="s">
        <v>8</v>
      </c>
      <c r="M3117" s="1146"/>
      <c r="N3117" s="1103"/>
      <c r="O3117"/>
      <c r="P3117" s="159"/>
      <c r="Q3117" s="147"/>
      <c r="R3117" s="149"/>
    </row>
    <row r="3118" spans="1:24" ht="30" customHeight="1">
      <c r="A3118" s="45"/>
      <c r="B3118" s="157"/>
      <c r="C3118" s="157"/>
      <c r="D3118" s="157"/>
      <c r="E3118" s="153"/>
      <c r="F3118" s="1174" t="s">
        <v>308</v>
      </c>
      <c r="G3118" s="1208" t="s">
        <v>309</v>
      </c>
      <c r="H3118" s="1208"/>
      <c r="I3118" s="1208"/>
      <c r="J3118" s="1208"/>
      <c r="K3118" s="123">
        <v>1.06</v>
      </c>
      <c r="L3118" s="10"/>
      <c r="M3118" s="1146"/>
      <c r="N3118" s="1103"/>
      <c r="O3118" s="34"/>
      <c r="P3118" s="283"/>
      <c r="Q3118" s="282"/>
      <c r="R3118" s="284"/>
    </row>
    <row r="3119" spans="1:24" ht="30" customHeight="1">
      <c r="A3119" s="45"/>
      <c r="B3119" s="157"/>
      <c r="C3119" s="157"/>
      <c r="D3119" s="157"/>
      <c r="E3119" s="153"/>
      <c r="F3119" s="1175"/>
      <c r="G3119" s="1209" t="s">
        <v>310</v>
      </c>
      <c r="H3119" s="1209"/>
      <c r="I3119" s="1209"/>
      <c r="J3119" s="1209"/>
      <c r="K3119" s="123">
        <v>1.07</v>
      </c>
      <c r="L3119" s="10"/>
      <c r="M3119" s="1146"/>
      <c r="N3119" s="1103"/>
      <c r="O3119" s="34"/>
      <c r="P3119" s="283"/>
      <c r="Q3119" s="282"/>
      <c r="R3119" s="284"/>
    </row>
    <row r="3120" spans="1:24" ht="30" customHeight="1">
      <c r="A3120" s="45"/>
      <c r="B3120" s="20"/>
      <c r="C3120" s="18"/>
      <c r="D3120" s="18"/>
      <c r="E3120" s="18"/>
      <c r="F3120" s="18"/>
      <c r="G3120" s="160"/>
      <c r="H3120" s="18"/>
      <c r="I3120" s="18"/>
      <c r="J3120" s="20" t="s">
        <v>289</v>
      </c>
      <c r="K3120" s="23">
        <f>+K3117*K3118/K3119</f>
        <v>109.843738317757</v>
      </c>
      <c r="L3120" s="20" t="s">
        <v>8</v>
      </c>
      <c r="M3120" s="1146"/>
      <c r="N3120" s="1103"/>
      <c r="O3120"/>
      <c r="P3120" s="159"/>
      <c r="Q3120" s="147"/>
      <c r="R3120" s="149"/>
    </row>
    <row r="3121" spans="1:24" ht="30" customHeight="1" thickBot="1">
      <c r="A3121" s="45"/>
      <c r="B3121" s="20"/>
      <c r="C3121" s="18"/>
      <c r="D3121" s="18"/>
      <c r="E3121" s="18"/>
      <c r="F3121" s="18"/>
      <c r="G3121" s="160" t="s">
        <v>312</v>
      </c>
      <c r="H3121" s="18"/>
      <c r="I3121" s="18"/>
      <c r="J3121" s="139">
        <f>VLOOKUP(B3113,'Mil Cost Premiums for RUCs'!$A$4:$R$266,18,FALSE)</f>
        <v>1.3319480854780448</v>
      </c>
      <c r="K3121" s="23">
        <f>+K3120*J3121</f>
        <v>146.30615695408778</v>
      </c>
      <c r="L3121" s="20" t="s">
        <v>8</v>
      </c>
      <c r="M3121" s="1146"/>
      <c r="N3121" s="1103"/>
      <c r="O3121"/>
      <c r="P3121" s="159"/>
      <c r="Q3121" s="147"/>
      <c r="R3121" s="149"/>
    </row>
    <row r="3122" spans="1:24" ht="30" customHeight="1" thickBot="1">
      <c r="A3122" s="1165"/>
      <c r="B3122" s="1166"/>
      <c r="C3122" s="1166"/>
      <c r="D3122" s="1166"/>
      <c r="E3122" s="1166"/>
      <c r="F3122" s="1166"/>
      <c r="G3122" s="1166"/>
      <c r="H3122" s="1166"/>
      <c r="I3122" s="1166"/>
      <c r="J3122" s="1166"/>
      <c r="K3122" s="1166"/>
      <c r="L3122" s="1167"/>
      <c r="M3122" s="1146"/>
      <c r="N3122" s="1103"/>
      <c r="O3122"/>
      <c r="P3122" s="159"/>
      <c r="Q3122" s="147"/>
      <c r="R3122" s="149"/>
    </row>
    <row r="3123" spans="1:24" ht="30" customHeight="1">
      <c r="A3123" s="27" t="s">
        <v>280</v>
      </c>
      <c r="B3123" s="28">
        <v>7414</v>
      </c>
      <c r="C3123" s="1393" t="s">
        <v>1742</v>
      </c>
      <c r="D3123" s="1394"/>
      <c r="E3123" s="74" t="s">
        <v>282</v>
      </c>
      <c r="F3123" s="75" t="s">
        <v>8</v>
      </c>
      <c r="G3123" s="58" t="s">
        <v>290</v>
      </c>
      <c r="H3123" s="76">
        <v>3162</v>
      </c>
      <c r="I3123" s="74" t="s">
        <v>283</v>
      </c>
      <c r="J3123" s="1199" t="s">
        <v>2529</v>
      </c>
      <c r="K3123" s="1199"/>
      <c r="L3123" s="1200"/>
      <c r="M3123" s="1146"/>
      <c r="N3123" s="1103"/>
      <c r="O3123"/>
      <c r="P3123" s="159"/>
      <c r="Q3123" s="147"/>
      <c r="R3123" s="149"/>
    </row>
    <row r="3124" spans="1:24" ht="30" customHeight="1">
      <c r="A3124" s="37" t="s">
        <v>304</v>
      </c>
      <c r="B3124" s="1300" t="s">
        <v>330</v>
      </c>
      <c r="C3124" s="1301"/>
      <c r="D3124" s="1302"/>
      <c r="E3124" s="150" t="s">
        <v>295</v>
      </c>
      <c r="F3124" s="150" t="s">
        <v>331</v>
      </c>
      <c r="G3124" s="1204" t="s">
        <v>332</v>
      </c>
      <c r="H3124" s="1205"/>
      <c r="I3124" s="77" t="s">
        <v>305</v>
      </c>
      <c r="J3124" s="77"/>
      <c r="K3124" s="1206" t="s">
        <v>297</v>
      </c>
      <c r="L3124" s="1207"/>
      <c r="M3124" s="1146"/>
      <c r="N3124" s="978"/>
      <c r="O3124"/>
      <c r="P3124" s="159"/>
      <c r="Q3124" s="147"/>
      <c r="R3124" s="149"/>
    </row>
    <row r="3125" spans="1:24" ht="30" customHeight="1">
      <c r="A3125" s="652" t="s">
        <v>1707</v>
      </c>
      <c r="B3125" s="1383" t="s">
        <v>1708</v>
      </c>
      <c r="C3125" s="1384"/>
      <c r="D3125" s="1385"/>
      <c r="E3125" s="153">
        <v>117.9</v>
      </c>
      <c r="F3125" s="22" t="s">
        <v>8</v>
      </c>
      <c r="G3125" s="702"/>
      <c r="H3125" s="703"/>
      <c r="I3125" s="20">
        <v>1.07</v>
      </c>
      <c r="J3125" s="20"/>
      <c r="K3125" s="153">
        <f>+E3125*I3125</f>
        <v>126.15300000000002</v>
      </c>
      <c r="L3125" s="20" t="s">
        <v>8</v>
      </c>
      <c r="M3125" s="1146"/>
      <c r="N3125" s="1103"/>
      <c r="O3125"/>
      <c r="P3125" s="159"/>
      <c r="Q3125" s="147"/>
      <c r="R3125" s="149"/>
    </row>
    <row r="3126" spans="1:24" ht="30" customHeight="1">
      <c r="A3126" s="45" t="s">
        <v>418</v>
      </c>
      <c r="B3126" s="1386" t="s">
        <v>1724</v>
      </c>
      <c r="C3126" s="1386"/>
      <c r="D3126" s="1386"/>
      <c r="E3126" s="153">
        <v>4.4800000000000004</v>
      </c>
      <c r="F3126" s="20" t="s">
        <v>8</v>
      </c>
      <c r="G3126" s="206"/>
      <c r="H3126" s="20"/>
      <c r="I3126" s="20">
        <v>1.07</v>
      </c>
      <c r="J3126" s="20"/>
      <c r="K3126" s="153">
        <f>+E3126*I3126</f>
        <v>4.7936000000000005</v>
      </c>
      <c r="L3126" s="20" t="s">
        <v>8</v>
      </c>
      <c r="M3126" s="1146"/>
      <c r="N3126" s="1103"/>
      <c r="O3126"/>
      <c r="P3126" s="159"/>
      <c r="Q3126" s="147"/>
      <c r="R3126" s="149"/>
    </row>
    <row r="3127" spans="1:24" ht="30" customHeight="1">
      <c r="A3127" s="45"/>
      <c r="B3127" s="45"/>
      <c r="C3127" s="46"/>
      <c r="D3127" s="46"/>
      <c r="E3127" s="18"/>
      <c r="F3127" s="18"/>
      <c r="G3127" s="18"/>
      <c r="H3127" s="18"/>
      <c r="I3127" s="18"/>
      <c r="J3127" s="20" t="s">
        <v>346</v>
      </c>
      <c r="K3127" s="23">
        <f>SUM(K3125:K3126)</f>
        <v>130.94660000000002</v>
      </c>
      <c r="L3127" s="20" t="s">
        <v>8</v>
      </c>
      <c r="M3127" s="1146"/>
      <c r="N3127" s="282"/>
      <c r="O3127"/>
      <c r="P3127" s="159"/>
      <c r="Q3127" s="147"/>
      <c r="R3127" s="149"/>
    </row>
    <row r="3128" spans="1:24" ht="30" customHeight="1">
      <c r="A3128" s="45"/>
      <c r="B3128" s="189"/>
      <c r="C3128" s="189"/>
      <c r="D3128" s="189"/>
      <c r="E3128" s="153"/>
      <c r="F3128" s="1174" t="s">
        <v>308</v>
      </c>
      <c r="G3128" s="1208" t="s">
        <v>309</v>
      </c>
      <c r="H3128" s="1208"/>
      <c r="I3128" s="1208"/>
      <c r="J3128" s="1208"/>
      <c r="K3128" s="123">
        <v>1.06</v>
      </c>
      <c r="L3128" s="10"/>
      <c r="M3128" s="1146"/>
      <c r="N3128" s="282"/>
      <c r="O3128"/>
      <c r="P3128" s="159"/>
      <c r="Q3128" s="147"/>
      <c r="R3128" s="149"/>
    </row>
    <row r="3129" spans="1:24" ht="30" customHeight="1">
      <c r="A3129" s="45"/>
      <c r="B3129" s="189"/>
      <c r="C3129" s="189"/>
      <c r="D3129" s="189"/>
      <c r="E3129" s="153"/>
      <c r="F3129" s="1175"/>
      <c r="G3129" s="1209" t="s">
        <v>310</v>
      </c>
      <c r="H3129" s="1209"/>
      <c r="I3129" s="1209"/>
      <c r="J3129" s="1209"/>
      <c r="K3129" s="123">
        <v>1.07</v>
      </c>
      <c r="L3129" s="10"/>
      <c r="M3129" s="1146"/>
      <c r="N3129" s="1103"/>
      <c r="O3129"/>
      <c r="P3129" s="159"/>
      <c r="Q3129" s="147"/>
      <c r="R3129" s="149"/>
    </row>
    <row r="3130" spans="1:24" ht="30" customHeight="1">
      <c r="A3130" s="45"/>
      <c r="B3130" s="45"/>
      <c r="C3130" s="46"/>
      <c r="D3130" s="46"/>
      <c r="E3130" s="18"/>
      <c r="F3130" s="18"/>
      <c r="G3130" s="18"/>
      <c r="H3130" s="18"/>
      <c r="I3130" s="18"/>
      <c r="J3130" s="20" t="s">
        <v>289</v>
      </c>
      <c r="K3130" s="23">
        <f>+K3127*K3128/K3129</f>
        <v>129.72280000000001</v>
      </c>
      <c r="L3130" s="20" t="s">
        <v>8</v>
      </c>
      <c r="M3130" s="1146"/>
      <c r="N3130" s="1103"/>
      <c r="O3130"/>
      <c r="P3130" s="159"/>
      <c r="Q3130" s="147"/>
      <c r="R3130" s="149"/>
    </row>
    <row r="3131" spans="1:24" ht="30" customHeight="1" thickBot="1">
      <c r="A3131" s="45"/>
      <c r="B3131" s="45"/>
      <c r="C3131" s="46"/>
      <c r="D3131" s="46"/>
      <c r="E3131" s="18"/>
      <c r="F3131" s="18"/>
      <c r="G3131" s="160" t="s">
        <v>312</v>
      </c>
      <c r="H3131" s="18"/>
      <c r="I3131" s="18"/>
      <c r="J3131" s="139">
        <f>VLOOKUP(B3123,'Mil Cost Premiums for RUCs'!$A$4:$R$266,18,FALSE)</f>
        <v>1.2470022895162014</v>
      </c>
      <c r="K3131" s="23">
        <f>+K3130*J3131</f>
        <v>161.76462860245229</v>
      </c>
      <c r="L3131" s="20" t="s">
        <v>8</v>
      </c>
      <c r="M3131" s="1146"/>
      <c r="N3131" s="1103"/>
      <c r="O3131"/>
      <c r="P3131" s="159"/>
      <c r="Q3131" s="147"/>
      <c r="R3131" s="149"/>
    </row>
    <row r="3132" spans="1:24" ht="30" customHeight="1" thickBot="1">
      <c r="A3132" s="1165"/>
      <c r="B3132" s="1166"/>
      <c r="C3132" s="1166"/>
      <c r="D3132" s="1166"/>
      <c r="E3132" s="1166"/>
      <c r="F3132" s="1166"/>
      <c r="G3132" s="1166"/>
      <c r="H3132" s="1166"/>
      <c r="I3132" s="1166"/>
      <c r="J3132" s="1166"/>
      <c r="K3132" s="1166"/>
      <c r="L3132" s="1167"/>
      <c r="M3132" s="1146"/>
      <c r="N3132" s="1103"/>
      <c r="O3132"/>
      <c r="P3132" s="159"/>
      <c r="Q3132" s="147"/>
      <c r="R3132" s="149"/>
    </row>
    <row r="3133" spans="1:24" ht="30" customHeight="1">
      <c r="A3133" s="27" t="s">
        <v>280</v>
      </c>
      <c r="B3133" s="82">
        <v>7415</v>
      </c>
      <c r="C3133" s="1197" t="s">
        <v>1743</v>
      </c>
      <c r="D3133" s="1198"/>
      <c r="E3133" s="74" t="s">
        <v>282</v>
      </c>
      <c r="F3133" s="75" t="s">
        <v>8</v>
      </c>
      <c r="G3133" s="58" t="s">
        <v>290</v>
      </c>
      <c r="H3133" s="76">
        <v>19059</v>
      </c>
      <c r="I3133" s="74" t="s">
        <v>283</v>
      </c>
      <c r="J3133" s="1199" t="s">
        <v>2529</v>
      </c>
      <c r="K3133" s="1199"/>
      <c r="L3133" s="1200"/>
      <c r="M3133" s="1146"/>
      <c r="N3133" s="1103"/>
      <c r="O3133"/>
      <c r="P3133" s="159"/>
      <c r="Q3133" s="147"/>
      <c r="R3133" s="149"/>
      <c r="T3133" s="38"/>
      <c r="U3133" s="38"/>
      <c r="V3133" s="38"/>
      <c r="W3133" s="38"/>
      <c r="X3133" s="38"/>
    </row>
    <row r="3134" spans="1:24" s="38" customFormat="1" ht="30" customHeight="1">
      <c r="A3134" s="37" t="s">
        <v>304</v>
      </c>
      <c r="B3134" s="1201" t="s">
        <v>330</v>
      </c>
      <c r="C3134" s="1202"/>
      <c r="D3134" s="1203"/>
      <c r="E3134" s="150" t="s">
        <v>295</v>
      </c>
      <c r="F3134" s="150" t="s">
        <v>331</v>
      </c>
      <c r="G3134" s="1204" t="s">
        <v>332</v>
      </c>
      <c r="H3134" s="1205"/>
      <c r="I3134" s="77" t="s">
        <v>305</v>
      </c>
      <c r="J3134" s="77"/>
      <c r="K3134" s="1206" t="s">
        <v>297</v>
      </c>
      <c r="L3134" s="1207"/>
      <c r="M3134" s="1146"/>
      <c r="N3134" s="1103"/>
      <c r="P3134" s="159"/>
      <c r="Q3134" s="147"/>
      <c r="R3134" s="149"/>
      <c r="T3134"/>
      <c r="U3134"/>
      <c r="V3134"/>
      <c r="W3134"/>
      <c r="X3134"/>
    </row>
    <row r="3135" spans="1:24" ht="30" customHeight="1">
      <c r="A3135" s="652" t="s">
        <v>1744</v>
      </c>
      <c r="B3135" s="1179" t="s">
        <v>1745</v>
      </c>
      <c r="C3135" s="1180"/>
      <c r="D3135" s="1181"/>
      <c r="E3135" s="153">
        <v>102</v>
      </c>
      <c r="F3135" s="22" t="s">
        <v>8</v>
      </c>
      <c r="G3135" s="702"/>
      <c r="H3135" s="703"/>
      <c r="I3135" s="20">
        <v>1.08</v>
      </c>
      <c r="J3135" s="20"/>
      <c r="K3135" s="153">
        <f>+E3135*I3135</f>
        <v>110.16000000000001</v>
      </c>
      <c r="L3135" s="20" t="s">
        <v>8</v>
      </c>
      <c r="M3135" s="1146"/>
      <c r="N3135" s="1103"/>
      <c r="O3135"/>
      <c r="P3135" s="159"/>
      <c r="Q3135" s="147"/>
      <c r="R3135" s="149"/>
    </row>
    <row r="3136" spans="1:24" ht="30" customHeight="1">
      <c r="A3136" s="45" t="s">
        <v>1746</v>
      </c>
      <c r="B3136" s="1267" t="s">
        <v>1747</v>
      </c>
      <c r="C3136" s="1267"/>
      <c r="D3136" s="1267"/>
      <c r="E3136" s="153">
        <v>3.34</v>
      </c>
      <c r="F3136" s="20" t="s">
        <v>8</v>
      </c>
      <c r="G3136" s="206"/>
      <c r="H3136" s="20"/>
      <c r="I3136" s="20">
        <v>1.08</v>
      </c>
      <c r="J3136" s="20"/>
      <c r="K3136" s="153">
        <f>+E3136*I3136</f>
        <v>3.6072000000000002</v>
      </c>
      <c r="L3136" s="20" t="s">
        <v>8</v>
      </c>
      <c r="M3136" s="1146"/>
      <c r="N3136" s="1103"/>
      <c r="O3136"/>
      <c r="P3136" s="159"/>
      <c r="Q3136" s="147"/>
      <c r="R3136" s="149"/>
    </row>
    <row r="3137" spans="1:24" ht="30" customHeight="1">
      <c r="A3137" s="45"/>
      <c r="B3137" s="20"/>
      <c r="C3137" s="18"/>
      <c r="D3137" s="18"/>
      <c r="E3137" s="18"/>
      <c r="F3137" s="18"/>
      <c r="G3137" s="18"/>
      <c r="H3137" s="18"/>
      <c r="I3137" s="18"/>
      <c r="J3137" s="20" t="s">
        <v>346</v>
      </c>
      <c r="K3137" s="23">
        <f>SUM(K3135:K3136)</f>
        <v>113.76720000000002</v>
      </c>
      <c r="L3137" s="20" t="s">
        <v>8</v>
      </c>
      <c r="M3137" s="1146"/>
      <c r="N3137" s="1103"/>
      <c r="O3137"/>
      <c r="P3137" s="159"/>
      <c r="Q3137" s="147"/>
      <c r="R3137" s="149"/>
    </row>
    <row r="3138" spans="1:24" ht="30" customHeight="1">
      <c r="A3138" s="45"/>
      <c r="B3138" s="157"/>
      <c r="C3138" s="157"/>
      <c r="D3138" s="157"/>
      <c r="E3138" s="153"/>
      <c r="F3138" s="1174" t="s">
        <v>308</v>
      </c>
      <c r="G3138" s="1208" t="s">
        <v>309</v>
      </c>
      <c r="H3138" s="1208"/>
      <c r="I3138" s="1208"/>
      <c r="J3138" s="1208"/>
      <c r="K3138" s="123">
        <v>1.06</v>
      </c>
      <c r="L3138" s="10"/>
      <c r="M3138" s="1146"/>
      <c r="N3138" s="1103"/>
      <c r="O3138" s="34"/>
      <c r="P3138" s="283"/>
      <c r="Q3138" s="282"/>
      <c r="R3138" s="284"/>
    </row>
    <row r="3139" spans="1:24" ht="30" customHeight="1">
      <c r="A3139" s="45"/>
      <c r="B3139" s="157"/>
      <c r="C3139" s="157"/>
      <c r="D3139" s="157"/>
      <c r="E3139" s="153"/>
      <c r="F3139" s="1175"/>
      <c r="G3139" s="1209" t="s">
        <v>310</v>
      </c>
      <c r="H3139" s="1209"/>
      <c r="I3139" s="1209"/>
      <c r="J3139" s="1209"/>
      <c r="K3139" s="123">
        <v>1.07</v>
      </c>
      <c r="L3139" s="10"/>
      <c r="M3139" s="1146"/>
      <c r="N3139" s="1103"/>
      <c r="O3139" s="34"/>
      <c r="P3139" s="283"/>
      <c r="Q3139" s="282"/>
      <c r="R3139" s="284"/>
    </row>
    <row r="3140" spans="1:24" ht="30" customHeight="1">
      <c r="A3140" s="45"/>
      <c r="B3140" s="20"/>
      <c r="C3140" s="18"/>
      <c r="D3140" s="18"/>
      <c r="E3140" s="18"/>
      <c r="F3140" s="18"/>
      <c r="G3140" s="18"/>
      <c r="H3140" s="18"/>
      <c r="I3140" s="18"/>
      <c r="J3140" s="20" t="s">
        <v>289</v>
      </c>
      <c r="K3140" s="23">
        <f>+K3137*K3138/K3139</f>
        <v>112.70395514018693</v>
      </c>
      <c r="L3140" s="20" t="s">
        <v>8</v>
      </c>
      <c r="M3140" s="1146"/>
      <c r="N3140" s="1103"/>
      <c r="O3140"/>
      <c r="P3140" s="159"/>
      <c r="Q3140" s="147"/>
      <c r="R3140" s="149"/>
    </row>
    <row r="3141" spans="1:24" ht="30" customHeight="1" thickBot="1">
      <c r="A3141" s="45"/>
      <c r="B3141" s="20"/>
      <c r="C3141" s="18"/>
      <c r="D3141" s="18"/>
      <c r="E3141" s="18"/>
      <c r="F3141" s="18"/>
      <c r="G3141" s="160" t="s">
        <v>312</v>
      </c>
      <c r="H3141" s="18"/>
      <c r="I3141" s="18"/>
      <c r="J3141" s="139">
        <f>VLOOKUP(B3133,'Mil Cost Premiums for RUCs'!$A$4:$R$266,18,FALSE)</f>
        <v>1.2815350593147223</v>
      </c>
      <c r="K3141" s="23">
        <f>+K3140*J3141</f>
        <v>144.43406983558327</v>
      </c>
      <c r="L3141" s="20" t="s">
        <v>8</v>
      </c>
      <c r="M3141" s="1146"/>
      <c r="N3141" s="1103"/>
      <c r="O3141"/>
      <c r="P3141" s="159"/>
      <c r="Q3141" s="147"/>
      <c r="R3141" s="149"/>
    </row>
    <row r="3142" spans="1:24" ht="30" customHeight="1" thickBot="1">
      <c r="A3142" s="1165"/>
      <c r="B3142" s="1166"/>
      <c r="C3142" s="1166"/>
      <c r="D3142" s="1166"/>
      <c r="E3142" s="1166"/>
      <c r="F3142" s="1166"/>
      <c r="G3142" s="1166"/>
      <c r="H3142" s="1166"/>
      <c r="I3142" s="1166"/>
      <c r="J3142" s="1166"/>
      <c r="K3142" s="1166"/>
      <c r="L3142" s="1167"/>
      <c r="M3142" s="1146"/>
      <c r="N3142" s="1103"/>
      <c r="O3142"/>
      <c r="P3142" s="159"/>
      <c r="Q3142" s="147"/>
      <c r="R3142" s="149"/>
    </row>
    <row r="3143" spans="1:24" ht="30" customHeight="1">
      <c r="A3143" s="27" t="s">
        <v>280</v>
      </c>
      <c r="B3143" s="82">
        <v>7416</v>
      </c>
      <c r="C3143" s="1197" t="s">
        <v>1748</v>
      </c>
      <c r="D3143" s="1198"/>
      <c r="E3143" s="74" t="s">
        <v>282</v>
      </c>
      <c r="F3143" s="75" t="s">
        <v>8</v>
      </c>
      <c r="G3143" s="58" t="s">
        <v>290</v>
      </c>
      <c r="H3143" s="76">
        <v>11762</v>
      </c>
      <c r="I3143" s="74" t="s">
        <v>283</v>
      </c>
      <c r="J3143" s="1199" t="s">
        <v>2529</v>
      </c>
      <c r="K3143" s="1199"/>
      <c r="L3143" s="1200"/>
      <c r="M3143" s="1146"/>
      <c r="N3143" s="1103"/>
      <c r="O3143"/>
      <c r="P3143" s="159"/>
      <c r="Q3143" s="147"/>
      <c r="R3143" s="149"/>
      <c r="T3143" s="38"/>
      <c r="U3143" s="38"/>
      <c r="V3143" s="38"/>
      <c r="W3143" s="38"/>
      <c r="X3143" s="38"/>
    </row>
    <row r="3144" spans="1:24" s="38" customFormat="1" ht="30" customHeight="1">
      <c r="A3144" s="37" t="s">
        <v>304</v>
      </c>
      <c r="B3144" s="1201" t="s">
        <v>330</v>
      </c>
      <c r="C3144" s="1202"/>
      <c r="D3144" s="1203"/>
      <c r="E3144" s="150" t="s">
        <v>295</v>
      </c>
      <c r="F3144" s="150" t="s">
        <v>331</v>
      </c>
      <c r="G3144" s="1204" t="s">
        <v>332</v>
      </c>
      <c r="H3144" s="1205"/>
      <c r="I3144" s="77" t="s">
        <v>305</v>
      </c>
      <c r="J3144" s="77"/>
      <c r="K3144" s="1206" t="s">
        <v>297</v>
      </c>
      <c r="L3144" s="1207"/>
      <c r="M3144" s="1146"/>
      <c r="N3144" s="1103"/>
      <c r="P3144" s="159"/>
      <c r="Q3144" s="147"/>
      <c r="R3144" s="149"/>
      <c r="T3144"/>
      <c r="U3144"/>
      <c r="V3144"/>
      <c r="W3144"/>
      <c r="X3144"/>
    </row>
    <row r="3145" spans="1:24" ht="30" customHeight="1">
      <c r="A3145" s="652" t="s">
        <v>1749</v>
      </c>
      <c r="B3145" s="1179" t="s">
        <v>1750</v>
      </c>
      <c r="C3145" s="1180"/>
      <c r="D3145" s="1181"/>
      <c r="E3145" s="153">
        <v>135.69</v>
      </c>
      <c r="F3145" s="22" t="s">
        <v>8</v>
      </c>
      <c r="G3145" s="702"/>
      <c r="H3145" s="703"/>
      <c r="I3145" s="20">
        <v>1.07</v>
      </c>
      <c r="J3145" s="20"/>
      <c r="K3145" s="153">
        <f>+E3145*I3145</f>
        <v>145.1883</v>
      </c>
      <c r="L3145" s="20" t="s">
        <v>8</v>
      </c>
      <c r="M3145" s="1146"/>
      <c r="N3145" s="1103"/>
      <c r="O3145"/>
      <c r="P3145" s="159"/>
      <c r="Q3145" s="147"/>
      <c r="R3145" s="149"/>
    </row>
    <row r="3146" spans="1:24" ht="30" customHeight="1">
      <c r="A3146" s="45" t="s">
        <v>418</v>
      </c>
      <c r="B3146" s="1267" t="s">
        <v>1737</v>
      </c>
      <c r="C3146" s="1267"/>
      <c r="D3146" s="1267"/>
      <c r="E3146" s="153">
        <v>3.71</v>
      </c>
      <c r="F3146" s="20" t="s">
        <v>8</v>
      </c>
      <c r="G3146" s="206"/>
      <c r="H3146" s="20"/>
      <c r="I3146" s="20">
        <v>1.07</v>
      </c>
      <c r="J3146" s="20"/>
      <c r="K3146" s="153">
        <f>+E3146*I3146</f>
        <v>3.9697</v>
      </c>
      <c r="L3146" s="20" t="s">
        <v>8</v>
      </c>
      <c r="M3146" s="1146"/>
      <c r="N3146" s="1103"/>
      <c r="O3146"/>
      <c r="P3146" s="159"/>
      <c r="Q3146" s="147"/>
      <c r="R3146" s="149"/>
    </row>
    <row r="3147" spans="1:24" ht="30" customHeight="1">
      <c r="A3147" s="45"/>
      <c r="B3147" s="20"/>
      <c r="C3147" s="18"/>
      <c r="D3147" s="18"/>
      <c r="E3147" s="18"/>
      <c r="F3147" s="18"/>
      <c r="G3147" s="18"/>
      <c r="H3147" s="18"/>
      <c r="I3147" s="18"/>
      <c r="J3147" s="20" t="s">
        <v>346</v>
      </c>
      <c r="K3147" s="23">
        <f>SUM(K3145:K3146)</f>
        <v>149.15799999999999</v>
      </c>
      <c r="L3147" s="20" t="s">
        <v>8</v>
      </c>
      <c r="M3147" s="1146"/>
      <c r="N3147" s="282"/>
      <c r="O3147"/>
      <c r="P3147" s="159"/>
      <c r="Q3147" s="147"/>
      <c r="R3147" s="149"/>
    </row>
    <row r="3148" spans="1:24" ht="30" customHeight="1">
      <c r="A3148" s="45"/>
      <c r="B3148" s="157"/>
      <c r="C3148" s="157"/>
      <c r="D3148" s="157"/>
      <c r="E3148" s="153"/>
      <c r="F3148" s="1174" t="s">
        <v>308</v>
      </c>
      <c r="G3148" s="1208" t="s">
        <v>309</v>
      </c>
      <c r="H3148" s="1208"/>
      <c r="I3148" s="1208"/>
      <c r="J3148" s="1208"/>
      <c r="K3148" s="123">
        <v>1.06</v>
      </c>
      <c r="L3148" s="10"/>
      <c r="M3148" s="1146"/>
      <c r="N3148" s="282"/>
      <c r="O3148" s="34"/>
      <c r="P3148" s="283"/>
      <c r="Q3148" s="282"/>
      <c r="R3148" s="284"/>
    </row>
    <row r="3149" spans="1:24" ht="30" customHeight="1">
      <c r="A3149" s="45"/>
      <c r="B3149" s="157"/>
      <c r="C3149" s="157"/>
      <c r="D3149" s="157"/>
      <c r="E3149" s="153"/>
      <c r="F3149" s="1175"/>
      <c r="G3149" s="1209" t="s">
        <v>310</v>
      </c>
      <c r="H3149" s="1209"/>
      <c r="I3149" s="1209"/>
      <c r="J3149" s="1209"/>
      <c r="K3149" s="123">
        <v>1.07</v>
      </c>
      <c r="L3149" s="10"/>
      <c r="M3149" s="1146"/>
      <c r="N3149" s="1103"/>
      <c r="O3149" s="34"/>
      <c r="P3149" s="283"/>
      <c r="Q3149" s="282"/>
      <c r="R3149" s="284"/>
    </row>
    <row r="3150" spans="1:24" ht="30" customHeight="1">
      <c r="A3150" s="45"/>
      <c r="B3150" s="20"/>
      <c r="C3150" s="18"/>
      <c r="D3150" s="18"/>
      <c r="E3150" s="18"/>
      <c r="F3150" s="18"/>
      <c r="G3150" s="18"/>
      <c r="H3150" s="18"/>
      <c r="I3150" s="18"/>
      <c r="J3150" s="20" t="s">
        <v>289</v>
      </c>
      <c r="K3150" s="23">
        <f>+K3147*K3148/K3149</f>
        <v>147.76399999999998</v>
      </c>
      <c r="L3150" s="20" t="s">
        <v>8</v>
      </c>
      <c r="M3150" s="1146"/>
      <c r="N3150" s="1114"/>
      <c r="O3150"/>
      <c r="P3150" s="159"/>
      <c r="Q3150" s="147"/>
      <c r="R3150" s="149"/>
    </row>
    <row r="3151" spans="1:24" ht="30" customHeight="1" thickBot="1">
      <c r="A3151" s="45"/>
      <c r="B3151" s="20"/>
      <c r="C3151" s="18"/>
      <c r="D3151" s="18"/>
      <c r="E3151" s="18"/>
      <c r="F3151" s="18"/>
      <c r="G3151" s="160" t="s">
        <v>312</v>
      </c>
      <c r="H3151" s="18"/>
      <c r="I3151" s="18"/>
      <c r="J3151" s="139">
        <f>VLOOKUP(B3143,'Mil Cost Premiums for RUCs'!$A$4:$R$266,18,FALSE)</f>
        <v>1.3319480854780448</v>
      </c>
      <c r="K3151" s="23">
        <f>+K3150*J3151</f>
        <v>196.81397690257779</v>
      </c>
      <c r="L3151" s="20" t="s">
        <v>8</v>
      </c>
      <c r="M3151" s="1146"/>
      <c r="N3151" s="1114"/>
      <c r="O3151"/>
      <c r="P3151" s="159"/>
      <c r="Q3151" s="147"/>
      <c r="R3151" s="149"/>
    </row>
    <row r="3152" spans="1:24" ht="30" customHeight="1" thickBot="1">
      <c r="A3152" s="1165"/>
      <c r="B3152" s="1166"/>
      <c r="C3152" s="1166"/>
      <c r="D3152" s="1166"/>
      <c r="E3152" s="1166"/>
      <c r="F3152" s="1166"/>
      <c r="G3152" s="1166"/>
      <c r="H3152" s="1166"/>
      <c r="I3152" s="1166"/>
      <c r="J3152" s="1166"/>
      <c r="K3152" s="1166"/>
      <c r="L3152" s="1167"/>
      <c r="M3152" s="1146"/>
      <c r="O3152"/>
      <c r="P3152" s="159"/>
      <c r="Q3152" s="147"/>
      <c r="R3152" s="149"/>
    </row>
    <row r="3153" spans="1:24" ht="30" customHeight="1">
      <c r="A3153" s="677" t="s">
        <v>280</v>
      </c>
      <c r="B3153" s="678">
        <v>7417</v>
      </c>
      <c r="C3153" s="1636" t="s">
        <v>1751</v>
      </c>
      <c r="D3153" s="1637"/>
      <c r="E3153" s="679" t="s">
        <v>282</v>
      </c>
      <c r="F3153" s="680" t="s">
        <v>8</v>
      </c>
      <c r="G3153" s="58" t="s">
        <v>290</v>
      </c>
      <c r="H3153" s="681">
        <v>8550</v>
      </c>
      <c r="I3153" s="74" t="s">
        <v>283</v>
      </c>
      <c r="J3153" s="1199" t="s">
        <v>2529</v>
      </c>
      <c r="K3153" s="1199"/>
      <c r="L3153" s="1200"/>
      <c r="M3153" s="1146"/>
      <c r="N3153" s="193"/>
      <c r="O3153"/>
      <c r="P3153" s="159"/>
      <c r="Q3153" s="147"/>
      <c r="R3153" s="149"/>
      <c r="T3153" s="38"/>
      <c r="U3153" s="38"/>
      <c r="V3153" s="38"/>
      <c r="W3153" s="38"/>
      <c r="X3153" s="38"/>
    </row>
    <row r="3154" spans="1:24" s="38" customFormat="1" ht="30" customHeight="1">
      <c r="A3154" s="682" t="s">
        <v>304</v>
      </c>
      <c r="B3154" s="1641" t="s">
        <v>330</v>
      </c>
      <c r="C3154" s="1642"/>
      <c r="D3154" s="1643"/>
      <c r="E3154" s="683" t="s">
        <v>295</v>
      </c>
      <c r="F3154" s="683" t="s">
        <v>331</v>
      </c>
      <c r="G3154" s="1644" t="s">
        <v>332</v>
      </c>
      <c r="H3154" s="1645"/>
      <c r="I3154" s="684" t="s">
        <v>1679</v>
      </c>
      <c r="J3154" s="684"/>
      <c r="K3154" s="1206" t="s">
        <v>297</v>
      </c>
      <c r="L3154" s="1207"/>
      <c r="M3154" s="1146"/>
      <c r="N3154" s="1103"/>
      <c r="P3154" s="159"/>
      <c r="Q3154" s="147"/>
      <c r="R3154" s="149"/>
    </row>
    <row r="3155" spans="1:24" s="38" customFormat="1" ht="30" customHeight="1">
      <c r="A3155" s="685" t="s">
        <v>1752</v>
      </c>
      <c r="B3155" s="1638" t="s">
        <v>1753</v>
      </c>
      <c r="C3155" s="1639"/>
      <c r="D3155" s="1640"/>
      <c r="E3155" s="686">
        <v>128</v>
      </c>
      <c r="F3155" s="687" t="s">
        <v>8</v>
      </c>
      <c r="G3155" s="688"/>
      <c r="H3155" s="689"/>
      <c r="I3155" s="690">
        <v>1.08</v>
      </c>
      <c r="J3155" s="690"/>
      <c r="K3155" s="686">
        <f>+E3155*I3155</f>
        <v>138.24</v>
      </c>
      <c r="L3155" s="690" t="s">
        <v>8</v>
      </c>
      <c r="M3155" s="1146"/>
      <c r="N3155" s="1103"/>
      <c r="P3155" s="159"/>
      <c r="Q3155" s="147"/>
      <c r="R3155" s="149"/>
    </row>
    <row r="3156" spans="1:24" s="38" customFormat="1" ht="30" customHeight="1">
      <c r="A3156" s="691" t="s">
        <v>1746</v>
      </c>
      <c r="B3156" s="1267" t="s">
        <v>1737</v>
      </c>
      <c r="C3156" s="1267"/>
      <c r="D3156" s="1267"/>
      <c r="E3156" s="686">
        <v>3.75</v>
      </c>
      <c r="F3156" s="690" t="s">
        <v>8</v>
      </c>
      <c r="G3156" s="692">
        <f>305/1166</f>
        <v>0.26157804459691253</v>
      </c>
      <c r="H3156" s="690" t="s">
        <v>1754</v>
      </c>
      <c r="I3156" s="690">
        <v>1.08</v>
      </c>
      <c r="J3156" s="690"/>
      <c r="K3156" s="686">
        <f>+E3156*G3156*I3156</f>
        <v>1.0593910806174958</v>
      </c>
      <c r="L3156" s="690" t="s">
        <v>8</v>
      </c>
      <c r="M3156" s="1146"/>
      <c r="N3156" s="1103"/>
      <c r="P3156" s="159"/>
      <c r="Q3156" s="147"/>
      <c r="R3156" s="149"/>
      <c r="T3156"/>
      <c r="U3156"/>
      <c r="V3156"/>
      <c r="W3156"/>
      <c r="X3156"/>
    </row>
    <row r="3157" spans="1:24" ht="30" customHeight="1">
      <c r="A3157" s="690"/>
      <c r="B3157" s="1638"/>
      <c r="C3157" s="1639"/>
      <c r="D3157" s="1640"/>
      <c r="E3157" s="686"/>
      <c r="F3157" s="690"/>
      <c r="G3157" s="690"/>
      <c r="H3157" s="690"/>
      <c r="I3157" s="690"/>
      <c r="J3157" s="690" t="s">
        <v>346</v>
      </c>
      <c r="K3157" s="686">
        <f>SUM(K3155:K3156)</f>
        <v>139.29939108061751</v>
      </c>
      <c r="L3157" s="690" t="s">
        <v>8</v>
      </c>
      <c r="M3157" s="1146"/>
      <c r="N3157" s="282"/>
      <c r="O3157"/>
      <c r="P3157" s="159"/>
      <c r="Q3157" s="147"/>
      <c r="R3157" s="149"/>
    </row>
    <row r="3158" spans="1:24" ht="30" customHeight="1">
      <c r="A3158" s="45"/>
      <c r="B3158" s="157"/>
      <c r="C3158" s="157"/>
      <c r="D3158" s="157"/>
      <c r="E3158" s="153"/>
      <c r="F3158" s="1174" t="s">
        <v>308</v>
      </c>
      <c r="G3158" s="1208" t="s">
        <v>309</v>
      </c>
      <c r="H3158" s="1208"/>
      <c r="I3158" s="1208"/>
      <c r="J3158" s="1208"/>
      <c r="K3158" s="123">
        <v>1.06</v>
      </c>
      <c r="L3158" s="10"/>
      <c r="M3158" s="1146"/>
      <c r="N3158" s="282"/>
      <c r="O3158"/>
      <c r="P3158" s="159"/>
      <c r="Q3158" s="147"/>
      <c r="R3158" s="149"/>
    </row>
    <row r="3159" spans="1:24" ht="30" customHeight="1">
      <c r="A3159" s="45"/>
      <c r="B3159" s="157"/>
      <c r="C3159" s="157"/>
      <c r="D3159" s="157"/>
      <c r="E3159" s="153"/>
      <c r="F3159" s="1175"/>
      <c r="G3159" s="1209" t="s">
        <v>310</v>
      </c>
      <c r="H3159" s="1209"/>
      <c r="I3159" s="1209"/>
      <c r="J3159" s="1209"/>
      <c r="K3159" s="123">
        <v>1.07</v>
      </c>
      <c r="L3159" s="10"/>
      <c r="M3159" s="1146"/>
      <c r="N3159" s="1116"/>
      <c r="O3159"/>
      <c r="P3159" s="159"/>
      <c r="Q3159" s="147"/>
      <c r="R3159" s="149"/>
    </row>
    <row r="3160" spans="1:24" ht="30" customHeight="1">
      <c r="A3160" s="690"/>
      <c r="B3160" s="690"/>
      <c r="C3160" s="693"/>
      <c r="D3160" s="693"/>
      <c r="E3160" s="693"/>
      <c r="F3160" s="693"/>
      <c r="G3160" s="693"/>
      <c r="H3160" s="693"/>
      <c r="I3160" s="693"/>
      <c r="J3160" s="690" t="s">
        <v>289</v>
      </c>
      <c r="K3160" s="694">
        <f>+K3157*K3158/K3159</f>
        <v>137.99752761257437</v>
      </c>
      <c r="L3160" s="690" t="s">
        <v>8</v>
      </c>
      <c r="M3160" s="1146"/>
      <c r="N3160" s="1116"/>
      <c r="O3160"/>
      <c r="P3160" s="159"/>
      <c r="Q3160" s="147"/>
      <c r="R3160" s="149"/>
    </row>
    <row r="3161" spans="1:24" ht="30" customHeight="1">
      <c r="A3161" s="690"/>
      <c r="B3161" s="690"/>
      <c r="C3161" s="693"/>
      <c r="D3161" s="693"/>
      <c r="E3161" s="693"/>
      <c r="F3161" s="693"/>
      <c r="G3161" s="226"/>
      <c r="H3161" s="693"/>
      <c r="I3161" s="699" t="s">
        <v>385</v>
      </c>
      <c r="J3161" s="139">
        <f>VLOOKUP(B3153,'Mil Cost Premiums for RUCs'!$A$4:$R$266,18,FALSE)</f>
        <v>1.2981950150858137</v>
      </c>
      <c r="K3161" s="694">
        <f>+K3160*J3161</f>
        <v>179.14770244081097</v>
      </c>
      <c r="L3161" s="690" t="s">
        <v>8</v>
      </c>
      <c r="M3161" s="1146"/>
      <c r="N3161" s="1103"/>
      <c r="O3161" s="34"/>
      <c r="P3161" s="283"/>
      <c r="Q3161" s="282"/>
      <c r="R3161" s="284"/>
    </row>
    <row r="3162" spans="1:24" ht="60" customHeight="1">
      <c r="A3162" s="1337" t="s">
        <v>313</v>
      </c>
      <c r="B3162" s="1338"/>
      <c r="C3162" s="1338"/>
      <c r="D3162" s="1338"/>
      <c r="E3162" s="1338"/>
      <c r="F3162" s="1338"/>
      <c r="G3162" s="1338"/>
      <c r="H3162" s="1338"/>
      <c r="I3162" s="1338"/>
      <c r="J3162" s="1338"/>
      <c r="K3162" s="1338"/>
      <c r="L3162" s="1339"/>
      <c r="M3162" s="1146"/>
      <c r="N3162" s="1103"/>
      <c r="O3162" s="34"/>
      <c r="P3162" s="283"/>
      <c r="Q3162" s="282"/>
      <c r="R3162" s="284"/>
    </row>
    <row r="3163" spans="1:24" ht="30" customHeight="1">
      <c r="A3163" s="1406" t="s">
        <v>314</v>
      </c>
      <c r="B3163" s="1407"/>
      <c r="C3163" s="1408"/>
      <c r="D3163" s="1270" t="s">
        <v>1687</v>
      </c>
      <c r="E3163" s="1371"/>
      <c r="F3163" s="1371"/>
      <c r="G3163" s="1371"/>
      <c r="H3163" s="1371"/>
      <c r="I3163" s="1371"/>
      <c r="J3163" s="1371"/>
      <c r="K3163" s="1371"/>
      <c r="L3163" s="1372"/>
      <c r="M3163" s="1146"/>
      <c r="N3163" s="1103"/>
      <c r="O3163"/>
      <c r="P3163" s="159"/>
      <c r="Q3163" s="147"/>
      <c r="R3163" s="149"/>
    </row>
    <row r="3164" spans="1:24" ht="30" customHeight="1">
      <c r="A3164" s="1406" t="s">
        <v>316</v>
      </c>
      <c r="B3164" s="1407"/>
      <c r="C3164" s="1408"/>
      <c r="D3164" s="1270" t="s">
        <v>1519</v>
      </c>
      <c r="E3164" s="1371"/>
      <c r="F3164" s="1371"/>
      <c r="G3164" s="1371"/>
      <c r="H3164" s="1371"/>
      <c r="I3164" s="1371"/>
      <c r="J3164" s="1371"/>
      <c r="K3164" s="1371"/>
      <c r="L3164" s="1372"/>
      <c r="M3164" s="1146"/>
      <c r="N3164" s="1103"/>
      <c r="O3164"/>
      <c r="P3164" s="159"/>
      <c r="Q3164" s="147"/>
      <c r="R3164" s="149"/>
    </row>
    <row r="3165" spans="1:24" ht="30" customHeight="1">
      <c r="A3165" s="1406" t="s">
        <v>317</v>
      </c>
      <c r="B3165" s="1407"/>
      <c r="C3165" s="1408"/>
      <c r="D3165" s="1270" t="s">
        <v>1755</v>
      </c>
      <c r="E3165" s="1371"/>
      <c r="F3165" s="1371"/>
      <c r="G3165" s="1371"/>
      <c r="H3165" s="1371"/>
      <c r="I3165" s="1371"/>
      <c r="J3165" s="1371"/>
      <c r="K3165" s="1371"/>
      <c r="L3165" s="1372"/>
      <c r="M3165" s="1146"/>
      <c r="N3165" s="1103"/>
      <c r="O3165"/>
      <c r="P3165" s="159"/>
      <c r="Q3165" s="147"/>
      <c r="R3165" s="149"/>
    </row>
    <row r="3166" spans="1:24" ht="75" customHeight="1">
      <c r="A3166" s="1406" t="s">
        <v>318</v>
      </c>
      <c r="B3166" s="1407"/>
      <c r="C3166" s="1408"/>
      <c r="D3166" s="1270" t="s">
        <v>2768</v>
      </c>
      <c r="E3166" s="1371"/>
      <c r="F3166" s="1371"/>
      <c r="G3166" s="1371"/>
      <c r="H3166" s="1371"/>
      <c r="I3166" s="1371"/>
      <c r="J3166" s="1371"/>
      <c r="K3166" s="1371"/>
      <c r="L3166" s="1372"/>
      <c r="M3166" s="1146"/>
      <c r="N3166" s="1103"/>
      <c r="O3166"/>
      <c r="P3166" s="159"/>
      <c r="Q3166" s="147"/>
      <c r="R3166" s="149"/>
      <c r="T3166" s="38"/>
      <c r="U3166" s="38"/>
      <c r="V3166" s="38"/>
      <c r="W3166" s="38"/>
      <c r="X3166" s="38"/>
    </row>
    <row r="3167" spans="1:24" s="38" customFormat="1" ht="30" customHeight="1">
      <c r="A3167" s="1406" t="s">
        <v>320</v>
      </c>
      <c r="B3167" s="1407"/>
      <c r="C3167" s="1408"/>
      <c r="D3167" s="1270" t="s">
        <v>1703</v>
      </c>
      <c r="E3167" s="1371"/>
      <c r="F3167" s="1371"/>
      <c r="G3167" s="1371"/>
      <c r="H3167" s="1371"/>
      <c r="I3167" s="1371"/>
      <c r="J3167" s="1371"/>
      <c r="K3167" s="1371"/>
      <c r="L3167" s="1372"/>
      <c r="M3167" s="1146"/>
      <c r="N3167" s="1103"/>
      <c r="P3167" s="159"/>
      <c r="Q3167" s="147"/>
      <c r="R3167" s="149"/>
      <c r="T3167"/>
      <c r="U3167"/>
      <c r="V3167"/>
      <c r="W3167"/>
      <c r="X3167"/>
    </row>
    <row r="3168" spans="1:24" ht="30" customHeight="1">
      <c r="A3168" s="1406" t="s">
        <v>322</v>
      </c>
      <c r="B3168" s="1407"/>
      <c r="C3168" s="1408"/>
      <c r="D3168" s="1270" t="s">
        <v>323</v>
      </c>
      <c r="E3168" s="1371"/>
      <c r="F3168" s="1371"/>
      <c r="G3168" s="1371"/>
      <c r="H3168" s="1371"/>
      <c r="I3168" s="1371"/>
      <c r="J3168" s="1371"/>
      <c r="K3168" s="1371"/>
      <c r="L3168" s="1372"/>
      <c r="M3168" s="1146"/>
      <c r="N3168" s="1103"/>
      <c r="O3168"/>
      <c r="P3168" s="159"/>
      <c r="Q3168" s="147"/>
      <c r="R3168" s="149"/>
    </row>
    <row r="3169" spans="1:24" ht="30" customHeight="1">
      <c r="A3169" s="1406" t="s">
        <v>324</v>
      </c>
      <c r="B3169" s="1407"/>
      <c r="C3169" s="1408"/>
      <c r="D3169" s="1270" t="s">
        <v>1522</v>
      </c>
      <c r="E3169" s="1371"/>
      <c r="F3169" s="1371"/>
      <c r="G3169" s="1371"/>
      <c r="H3169" s="1371"/>
      <c r="I3169" s="1371"/>
      <c r="J3169" s="1371"/>
      <c r="K3169" s="1371"/>
      <c r="L3169" s="1372"/>
      <c r="M3169" s="1146"/>
      <c r="N3169" s="1103"/>
      <c r="O3169" s="34"/>
      <c r="P3169" s="283"/>
      <c r="Q3169" s="282"/>
      <c r="R3169" s="284"/>
    </row>
    <row r="3170" spans="1:24" ht="75" customHeight="1">
      <c r="A3170" s="1406" t="s">
        <v>325</v>
      </c>
      <c r="B3170" s="1407"/>
      <c r="C3170" s="1408"/>
      <c r="D3170" s="1270" t="s">
        <v>391</v>
      </c>
      <c r="E3170" s="1371"/>
      <c r="F3170" s="1371"/>
      <c r="G3170" s="1371"/>
      <c r="H3170" s="1371"/>
      <c r="I3170" s="1371"/>
      <c r="J3170" s="1371"/>
      <c r="K3170" s="1371"/>
      <c r="L3170" s="1372"/>
      <c r="M3170" s="1146"/>
      <c r="N3170" s="282"/>
      <c r="O3170" s="34"/>
      <c r="P3170" s="283"/>
      <c r="Q3170" s="282"/>
      <c r="R3170" s="284"/>
    </row>
    <row r="3171" spans="1:24" ht="45" customHeight="1" thickBot="1">
      <c r="A3171" s="1406" t="s">
        <v>327</v>
      </c>
      <c r="B3171" s="1407"/>
      <c r="C3171" s="1408"/>
      <c r="D3171" s="1270" t="s">
        <v>1756</v>
      </c>
      <c r="E3171" s="1371"/>
      <c r="F3171" s="1371"/>
      <c r="G3171" s="1371"/>
      <c r="H3171" s="1371"/>
      <c r="I3171" s="1371"/>
      <c r="J3171" s="1371"/>
      <c r="K3171" s="1371"/>
      <c r="L3171" s="1372"/>
      <c r="M3171" s="1146"/>
      <c r="N3171" s="282"/>
      <c r="O3171"/>
      <c r="P3171" s="159"/>
      <c r="Q3171" s="147"/>
      <c r="R3171" s="149"/>
    </row>
    <row r="3172" spans="1:24" ht="30" customHeight="1" thickBot="1">
      <c r="A3172" s="1165"/>
      <c r="B3172" s="1166"/>
      <c r="C3172" s="1166"/>
      <c r="D3172" s="1166"/>
      <c r="E3172" s="1166"/>
      <c r="F3172" s="1166"/>
      <c r="G3172" s="1166"/>
      <c r="H3172" s="1166"/>
      <c r="I3172" s="1166"/>
      <c r="J3172" s="1166"/>
      <c r="K3172" s="1166"/>
      <c r="L3172" s="1167"/>
      <c r="M3172" s="1146"/>
      <c r="N3172" s="1103"/>
      <c r="O3172"/>
      <c r="P3172" s="159"/>
      <c r="Q3172" s="147"/>
      <c r="R3172" s="149"/>
    </row>
    <row r="3173" spans="1:24" ht="30" customHeight="1">
      <c r="A3173" s="81" t="s">
        <v>280</v>
      </c>
      <c r="B3173" s="82">
        <v>7418</v>
      </c>
      <c r="C3173" s="1197" t="s">
        <v>1757</v>
      </c>
      <c r="D3173" s="1198"/>
      <c r="E3173" s="74" t="s">
        <v>282</v>
      </c>
      <c r="F3173" s="75" t="s">
        <v>8</v>
      </c>
      <c r="G3173" s="58" t="s">
        <v>290</v>
      </c>
      <c r="H3173" s="76">
        <v>18360</v>
      </c>
      <c r="I3173" s="74" t="s">
        <v>283</v>
      </c>
      <c r="J3173" s="1199" t="s">
        <v>2529</v>
      </c>
      <c r="K3173" s="1199"/>
      <c r="L3173" s="1200"/>
      <c r="M3173" s="1146"/>
      <c r="N3173" s="1103"/>
      <c r="O3173"/>
      <c r="P3173" s="159"/>
      <c r="Q3173" s="147"/>
      <c r="R3173" s="149"/>
    </row>
    <row r="3174" spans="1:24" ht="30" customHeight="1">
      <c r="A3174" s="79" t="s">
        <v>304</v>
      </c>
      <c r="B3174" s="1201" t="s">
        <v>330</v>
      </c>
      <c r="C3174" s="1202"/>
      <c r="D3174" s="1203"/>
      <c r="E3174" s="150" t="s">
        <v>295</v>
      </c>
      <c r="F3174" s="150" t="s">
        <v>331</v>
      </c>
      <c r="G3174" s="1204" t="s">
        <v>332</v>
      </c>
      <c r="H3174" s="1205"/>
      <c r="I3174" s="77" t="s">
        <v>305</v>
      </c>
      <c r="J3174" s="77"/>
      <c r="K3174" s="1206" t="s">
        <v>297</v>
      </c>
      <c r="L3174" s="1207"/>
      <c r="M3174" s="1146"/>
      <c r="N3174" s="1103"/>
      <c r="O3174"/>
      <c r="P3174" s="159"/>
      <c r="Q3174" s="147"/>
      <c r="R3174" s="149"/>
      <c r="T3174" s="38"/>
      <c r="U3174" s="38"/>
      <c r="V3174" s="38"/>
      <c r="W3174" s="38"/>
      <c r="X3174" s="38"/>
    </row>
    <row r="3175" spans="1:24" s="38" customFormat="1" ht="30" customHeight="1">
      <c r="A3175" s="351" t="s">
        <v>1758</v>
      </c>
      <c r="B3175" s="1179" t="s">
        <v>1759</v>
      </c>
      <c r="C3175" s="1180"/>
      <c r="D3175" s="1181"/>
      <c r="E3175" s="153">
        <v>94</v>
      </c>
      <c r="F3175" s="22" t="s">
        <v>8</v>
      </c>
      <c r="G3175" s="702"/>
      <c r="H3175" s="703"/>
      <c r="I3175" s="20">
        <v>1.08</v>
      </c>
      <c r="J3175" s="20"/>
      <c r="K3175" s="153">
        <f>+E3175*I3175</f>
        <v>101.52000000000001</v>
      </c>
      <c r="L3175" s="20" t="s">
        <v>8</v>
      </c>
      <c r="M3175" s="1146"/>
      <c r="N3175" s="1103"/>
      <c r="P3175" s="159"/>
      <c r="Q3175" s="147"/>
      <c r="R3175" s="149"/>
      <c r="T3175"/>
      <c r="U3175"/>
      <c r="V3175"/>
      <c r="W3175"/>
      <c r="X3175"/>
    </row>
    <row r="3176" spans="1:24" ht="30" customHeight="1">
      <c r="A3176" s="20" t="s">
        <v>1746</v>
      </c>
      <c r="B3176" s="1267" t="s">
        <v>1747</v>
      </c>
      <c r="C3176" s="1267"/>
      <c r="D3176" s="1267"/>
      <c r="E3176" s="153">
        <v>3.34</v>
      </c>
      <c r="F3176" s="20" t="s">
        <v>8</v>
      </c>
      <c r="G3176" s="206"/>
      <c r="H3176" s="20"/>
      <c r="I3176" s="20">
        <v>1.08</v>
      </c>
      <c r="J3176" s="20"/>
      <c r="K3176" s="153">
        <f>+E3176*I3176</f>
        <v>3.6072000000000002</v>
      </c>
      <c r="L3176" s="20" t="s">
        <v>8</v>
      </c>
      <c r="M3176" s="1146"/>
      <c r="N3176" s="1103"/>
      <c r="O3176"/>
      <c r="P3176" s="159"/>
      <c r="Q3176" s="147"/>
      <c r="R3176" s="149"/>
    </row>
    <row r="3177" spans="1:24" ht="30" customHeight="1">
      <c r="A3177" s="690"/>
      <c r="B3177" s="1638"/>
      <c r="C3177" s="1639"/>
      <c r="D3177" s="1640"/>
      <c r="E3177" s="686"/>
      <c r="F3177" s="690"/>
      <c r="G3177" s="690"/>
      <c r="H3177" s="690"/>
      <c r="I3177" s="690"/>
      <c r="J3177" s="690" t="s">
        <v>346</v>
      </c>
      <c r="K3177" s="686">
        <f>SUM(K3175:K3176)</f>
        <v>105.12720000000002</v>
      </c>
      <c r="L3177" s="690" t="s">
        <v>8</v>
      </c>
      <c r="M3177" s="1146"/>
      <c r="N3177" s="1103"/>
      <c r="O3177"/>
      <c r="P3177" s="159"/>
      <c r="Q3177" s="147"/>
      <c r="R3177" s="149"/>
    </row>
    <row r="3178" spans="1:24" ht="30" customHeight="1">
      <c r="A3178" s="20"/>
      <c r="B3178" s="157"/>
      <c r="C3178" s="157"/>
      <c r="D3178" s="157"/>
      <c r="E3178" s="153"/>
      <c r="F3178" s="1174" t="s">
        <v>308</v>
      </c>
      <c r="G3178" s="1208" t="s">
        <v>309</v>
      </c>
      <c r="H3178" s="1208"/>
      <c r="I3178" s="1208"/>
      <c r="J3178" s="1208"/>
      <c r="K3178" s="123">
        <v>1.06</v>
      </c>
      <c r="L3178" s="10"/>
      <c r="M3178" s="1146"/>
      <c r="N3178" s="282"/>
      <c r="O3178"/>
      <c r="P3178" s="159"/>
      <c r="Q3178" s="147"/>
      <c r="R3178" s="149"/>
    </row>
    <row r="3179" spans="1:24" ht="30" customHeight="1">
      <c r="A3179" s="20"/>
      <c r="B3179" s="157"/>
      <c r="C3179" s="157"/>
      <c r="D3179" s="157"/>
      <c r="E3179" s="153"/>
      <c r="F3179" s="1175"/>
      <c r="G3179" s="1209" t="s">
        <v>310</v>
      </c>
      <c r="H3179" s="1209"/>
      <c r="I3179" s="1209"/>
      <c r="J3179" s="1209"/>
      <c r="K3179" s="123">
        <v>1.07</v>
      </c>
      <c r="L3179" s="10"/>
      <c r="M3179" s="1146"/>
      <c r="N3179" s="282"/>
      <c r="O3179"/>
      <c r="P3179" s="159"/>
      <c r="Q3179" s="147"/>
      <c r="R3179" s="149"/>
    </row>
    <row r="3180" spans="1:24" ht="30" customHeight="1">
      <c r="A3180" s="20"/>
      <c r="B3180" s="20"/>
      <c r="C3180" s="18"/>
      <c r="D3180" s="18"/>
      <c r="E3180" s="18"/>
      <c r="F3180" s="18"/>
      <c r="G3180" s="18"/>
      <c r="H3180" s="18"/>
      <c r="I3180" s="18"/>
      <c r="J3180" s="20" t="s">
        <v>289</v>
      </c>
      <c r="K3180" s="23">
        <f>+K3177*K3178/K3179</f>
        <v>104.14470280373834</v>
      </c>
      <c r="L3180" s="20" t="s">
        <v>8</v>
      </c>
      <c r="M3180" s="1146"/>
      <c r="N3180" s="1103"/>
      <c r="O3180"/>
      <c r="P3180" s="159"/>
      <c r="Q3180" s="147"/>
      <c r="R3180" s="149"/>
    </row>
    <row r="3181" spans="1:24" ht="30" customHeight="1" thickBot="1">
      <c r="A3181" s="20"/>
      <c r="B3181" s="20"/>
      <c r="C3181" s="18"/>
      <c r="D3181" s="18"/>
      <c r="E3181" s="18"/>
      <c r="F3181" s="18"/>
      <c r="G3181" s="160" t="s">
        <v>312</v>
      </c>
      <c r="H3181" s="18"/>
      <c r="I3181" s="18"/>
      <c r="J3181" s="139">
        <f>VLOOKUP(B3173,'Mil Cost Premiums for RUCs'!$A$4:$R$266,18,FALSE)</f>
        <v>1.1896666233280813</v>
      </c>
      <c r="K3181" s="23">
        <f>+K3180*J3181</f>
        <v>123.89747692202995</v>
      </c>
      <c r="L3181" s="20" t="s">
        <v>8</v>
      </c>
      <c r="M3181" s="1146"/>
      <c r="N3181" s="1103"/>
      <c r="O3181" s="34"/>
      <c r="P3181" s="283"/>
      <c r="Q3181" s="282"/>
      <c r="R3181" s="284"/>
    </row>
    <row r="3182" spans="1:24" ht="30" customHeight="1" thickBot="1">
      <c r="A3182" s="1165"/>
      <c r="B3182" s="1166"/>
      <c r="C3182" s="1166"/>
      <c r="D3182" s="1166"/>
      <c r="E3182" s="1166"/>
      <c r="F3182" s="1166"/>
      <c r="G3182" s="1166"/>
      <c r="H3182" s="1166"/>
      <c r="I3182" s="1166"/>
      <c r="J3182" s="1166"/>
      <c r="K3182" s="1166"/>
      <c r="L3182" s="1167"/>
      <c r="M3182" s="1146"/>
      <c r="N3182" s="1103"/>
      <c r="O3182" s="34"/>
      <c r="P3182" s="283"/>
      <c r="Q3182" s="282"/>
      <c r="R3182" s="284"/>
    </row>
    <row r="3183" spans="1:24" ht="30" customHeight="1">
      <c r="A3183" s="81" t="s">
        <v>280</v>
      </c>
      <c r="B3183" s="82">
        <v>7421</v>
      </c>
      <c r="C3183" s="1215" t="s">
        <v>1760</v>
      </c>
      <c r="D3183" s="1216"/>
      <c r="E3183" s="74" t="s">
        <v>282</v>
      </c>
      <c r="F3183" s="75" t="s">
        <v>8</v>
      </c>
      <c r="G3183" s="58" t="s">
        <v>290</v>
      </c>
      <c r="H3183" s="104">
        <v>19675</v>
      </c>
      <c r="I3183" s="74" t="s">
        <v>283</v>
      </c>
      <c r="J3183" s="1199" t="s">
        <v>437</v>
      </c>
      <c r="K3183" s="1230"/>
      <c r="L3183" s="1231"/>
      <c r="M3183" s="1146"/>
      <c r="N3183" s="1103"/>
      <c r="O3183"/>
      <c r="P3183" s="159"/>
      <c r="Q3183" s="147"/>
      <c r="R3183" s="149"/>
    </row>
    <row r="3184" spans="1:24" ht="30" customHeight="1">
      <c r="A3184" s="77" t="s">
        <v>293</v>
      </c>
      <c r="B3184" s="1232" t="s">
        <v>284</v>
      </c>
      <c r="C3184" s="1232"/>
      <c r="D3184" s="1232"/>
      <c r="E3184" s="96" t="s">
        <v>295</v>
      </c>
      <c r="F3184" s="77" t="s">
        <v>294</v>
      </c>
      <c r="G3184" s="1365" t="s">
        <v>332</v>
      </c>
      <c r="H3184" s="1366"/>
      <c r="I3184" s="1233" t="s">
        <v>426</v>
      </c>
      <c r="J3184" s="1234"/>
      <c r="K3184" s="1206" t="s">
        <v>297</v>
      </c>
      <c r="L3184" s="1207"/>
      <c r="M3184" s="1146"/>
      <c r="N3184" s="1103"/>
      <c r="O3184"/>
      <c r="P3184" s="159"/>
      <c r="Q3184" s="147"/>
      <c r="R3184" s="149"/>
    </row>
    <row r="3185" spans="1:24" ht="30" customHeight="1">
      <c r="A3185" s="20">
        <v>74028</v>
      </c>
      <c r="B3185" s="1179" t="s">
        <v>555</v>
      </c>
      <c r="C3185" s="1180"/>
      <c r="D3185" s="1181"/>
      <c r="E3185" s="153">
        <v>250</v>
      </c>
      <c r="F3185" s="316">
        <v>62000</v>
      </c>
      <c r="G3185" s="529"/>
      <c r="H3185" s="286"/>
      <c r="I3185" s="1546">
        <f>+'2019 MILCON Inflation Table'!$F$16</f>
        <v>0.98039215686274506</v>
      </c>
      <c r="J3185" s="1547"/>
      <c r="K3185" s="106">
        <f>+E3185*I3185</f>
        <v>245.09803921568627</v>
      </c>
      <c r="L3185" s="97" t="s">
        <v>8</v>
      </c>
      <c r="M3185" s="1146"/>
      <c r="N3185" s="1103"/>
      <c r="O3185"/>
      <c r="P3185" s="159"/>
      <c r="Q3185" s="147"/>
      <c r="R3185" s="149"/>
    </row>
    <row r="3186" spans="1:24" ht="30" customHeight="1" thickBot="1">
      <c r="A3186" s="20"/>
      <c r="B3186" s="1179"/>
      <c r="C3186" s="1180"/>
      <c r="D3186" s="1181"/>
      <c r="E3186" s="181"/>
      <c r="F3186" s="338"/>
      <c r="G3186" s="181"/>
      <c r="H3186" s="339"/>
      <c r="I3186" s="18"/>
      <c r="J3186" s="79" t="s">
        <v>289</v>
      </c>
      <c r="K3186" s="107">
        <f>SUM(K3185:K3185)</f>
        <v>245.09803921568627</v>
      </c>
      <c r="L3186" s="97" t="s">
        <v>8</v>
      </c>
      <c r="M3186" s="1146"/>
      <c r="N3186" s="1103"/>
      <c r="O3186"/>
      <c r="P3186" s="159"/>
      <c r="Q3186" s="147"/>
      <c r="R3186" s="149"/>
    </row>
    <row r="3187" spans="1:24" ht="30" customHeight="1" thickBot="1">
      <c r="A3187" s="1165"/>
      <c r="B3187" s="1166"/>
      <c r="C3187" s="1166"/>
      <c r="D3187" s="1166"/>
      <c r="E3187" s="1166"/>
      <c r="F3187" s="1166"/>
      <c r="G3187" s="1166"/>
      <c r="H3187" s="1166"/>
      <c r="I3187" s="1166"/>
      <c r="J3187" s="1166"/>
      <c r="K3187" s="1166"/>
      <c r="L3187" s="1167"/>
      <c r="M3187" s="1146"/>
      <c r="N3187" s="1103"/>
      <c r="O3187"/>
      <c r="P3187" s="159"/>
      <c r="Q3187" s="147"/>
      <c r="R3187" s="149"/>
    </row>
    <row r="3188" spans="1:24" ht="30" customHeight="1">
      <c r="A3188" s="81" t="s">
        <v>280</v>
      </c>
      <c r="B3188" s="82">
        <v>7422</v>
      </c>
      <c r="C3188" s="1197" t="s">
        <v>1761</v>
      </c>
      <c r="D3188" s="1198"/>
      <c r="E3188" s="74" t="s">
        <v>282</v>
      </c>
      <c r="F3188" s="75" t="s">
        <v>8</v>
      </c>
      <c r="G3188" s="91" t="s">
        <v>1664</v>
      </c>
      <c r="H3188" s="76">
        <v>13133</v>
      </c>
      <c r="I3188" s="74" t="s">
        <v>283</v>
      </c>
      <c r="J3188" s="1199" t="s">
        <v>2529</v>
      </c>
      <c r="K3188" s="1199"/>
      <c r="L3188" s="1200"/>
      <c r="M3188" s="1146"/>
      <c r="N3188" s="1103"/>
      <c r="O3188"/>
      <c r="P3188" s="159"/>
      <c r="Q3188" s="147"/>
      <c r="R3188" s="149"/>
    </row>
    <row r="3189" spans="1:24" ht="30" customHeight="1">
      <c r="A3189" s="79" t="s">
        <v>304</v>
      </c>
      <c r="B3189" s="1201" t="s">
        <v>330</v>
      </c>
      <c r="C3189" s="1202"/>
      <c r="D3189" s="1203"/>
      <c r="E3189" s="150" t="s">
        <v>295</v>
      </c>
      <c r="F3189" s="150" t="s">
        <v>331</v>
      </c>
      <c r="G3189" s="1204" t="s">
        <v>332</v>
      </c>
      <c r="H3189" s="1205"/>
      <c r="I3189" s="77" t="s">
        <v>305</v>
      </c>
      <c r="J3189" s="77"/>
      <c r="K3189" s="1206" t="s">
        <v>297</v>
      </c>
      <c r="L3189" s="1207"/>
      <c r="M3189" s="1146"/>
      <c r="N3189" s="1103"/>
      <c r="O3189"/>
      <c r="P3189" s="159"/>
      <c r="Q3189" s="147"/>
      <c r="R3189" s="149"/>
    </row>
    <row r="3190" spans="1:24" ht="30" customHeight="1">
      <c r="A3190" s="351" t="s">
        <v>571</v>
      </c>
      <c r="B3190" s="1179" t="s">
        <v>1762</v>
      </c>
      <c r="C3190" s="1180"/>
      <c r="D3190" s="1181"/>
      <c r="E3190" s="153">
        <v>119</v>
      </c>
      <c r="F3190" s="22" t="s">
        <v>8</v>
      </c>
      <c r="G3190" s="702"/>
      <c r="H3190" s="703"/>
      <c r="I3190" s="20">
        <v>1.08</v>
      </c>
      <c r="J3190" s="326"/>
      <c r="K3190" s="153">
        <f>+E3190*I3190</f>
        <v>128.52000000000001</v>
      </c>
      <c r="L3190" s="20" t="s">
        <v>8</v>
      </c>
      <c r="M3190" s="1146"/>
      <c r="N3190" s="282"/>
      <c r="O3190"/>
      <c r="P3190" s="159"/>
      <c r="Q3190" s="147"/>
      <c r="R3190" s="149"/>
    </row>
    <row r="3191" spans="1:24" ht="30" customHeight="1">
      <c r="A3191" s="20" t="s">
        <v>574</v>
      </c>
      <c r="B3191" s="1267" t="s">
        <v>2648</v>
      </c>
      <c r="C3191" s="1267"/>
      <c r="D3191" s="1267"/>
      <c r="E3191" s="153">
        <v>3.48</v>
      </c>
      <c r="F3191" s="20" t="s">
        <v>8</v>
      </c>
      <c r="G3191" s="206"/>
      <c r="H3191" s="20"/>
      <c r="I3191" s="20">
        <v>1.08</v>
      </c>
      <c r="J3191" s="326"/>
      <c r="K3191" s="153">
        <f>+E3191*I3191</f>
        <v>3.7584000000000004</v>
      </c>
      <c r="L3191" s="20" t="s">
        <v>8</v>
      </c>
      <c r="M3191" s="1146"/>
      <c r="N3191" s="282"/>
      <c r="O3191"/>
      <c r="P3191" s="159"/>
      <c r="Q3191" s="147"/>
      <c r="R3191" s="149"/>
    </row>
    <row r="3192" spans="1:24" ht="30" customHeight="1">
      <c r="A3192" s="690"/>
      <c r="B3192" s="1638"/>
      <c r="C3192" s="1639"/>
      <c r="D3192" s="1640"/>
      <c r="E3192" s="686"/>
      <c r="F3192" s="690"/>
      <c r="G3192" s="690"/>
      <c r="H3192" s="690"/>
      <c r="I3192" s="690"/>
      <c r="J3192" s="690" t="s">
        <v>346</v>
      </c>
      <c r="K3192" s="686">
        <f>SUM(K3190:K3191)</f>
        <v>132.2784</v>
      </c>
      <c r="L3192" s="690" t="s">
        <v>8</v>
      </c>
      <c r="M3192" s="1146"/>
      <c r="N3192" s="1103"/>
      <c r="O3192"/>
      <c r="P3192" s="159"/>
      <c r="Q3192" s="147"/>
      <c r="R3192" s="149"/>
    </row>
    <row r="3193" spans="1:24" ht="30" customHeight="1">
      <c r="A3193" s="20"/>
      <c r="B3193" s="157"/>
      <c r="C3193" s="157"/>
      <c r="D3193" s="157"/>
      <c r="E3193" s="153"/>
      <c r="F3193" s="1174" t="s">
        <v>308</v>
      </c>
      <c r="G3193" s="1208" t="s">
        <v>309</v>
      </c>
      <c r="H3193" s="1208"/>
      <c r="I3193" s="1208"/>
      <c r="J3193" s="1208"/>
      <c r="K3193" s="123">
        <v>1.06</v>
      </c>
      <c r="L3193" s="10"/>
      <c r="M3193" s="1146"/>
      <c r="N3193" s="1103"/>
      <c r="O3193"/>
      <c r="P3193" s="159"/>
      <c r="Q3193" s="147"/>
      <c r="R3193" s="149"/>
    </row>
    <row r="3194" spans="1:24" ht="30" customHeight="1">
      <c r="A3194" s="20"/>
      <c r="B3194" s="157"/>
      <c r="C3194" s="157"/>
      <c r="D3194" s="157"/>
      <c r="E3194" s="153"/>
      <c r="F3194" s="1175"/>
      <c r="G3194" s="1209" t="s">
        <v>310</v>
      </c>
      <c r="H3194" s="1209"/>
      <c r="I3194" s="1209"/>
      <c r="J3194" s="1209"/>
      <c r="K3194" s="123">
        <v>1.07</v>
      </c>
      <c r="L3194" s="10"/>
      <c r="M3194" s="1146"/>
      <c r="N3194" s="1103"/>
      <c r="O3194"/>
      <c r="P3194" s="159"/>
      <c r="Q3194" s="147"/>
      <c r="R3194" s="149"/>
    </row>
    <row r="3195" spans="1:24" ht="30" customHeight="1">
      <c r="A3195" s="20"/>
      <c r="B3195" s="20"/>
      <c r="C3195" s="18"/>
      <c r="D3195" s="18"/>
      <c r="E3195" s="18"/>
      <c r="F3195" s="18"/>
      <c r="G3195" s="18"/>
      <c r="H3195" s="18"/>
      <c r="I3195" s="18"/>
      <c r="J3195" s="20" t="s">
        <v>289</v>
      </c>
      <c r="K3195" s="23">
        <f>+K3192*K3193/K3194</f>
        <v>131.04215327102804</v>
      </c>
      <c r="L3195" s="20" t="s">
        <v>8</v>
      </c>
      <c r="M3195" s="1146"/>
      <c r="N3195" s="1103"/>
      <c r="O3195"/>
      <c r="P3195" s="159"/>
      <c r="Q3195" s="147"/>
      <c r="R3195" s="149"/>
    </row>
    <row r="3196" spans="1:24" ht="30" customHeight="1" thickBot="1">
      <c r="A3196" s="20"/>
      <c r="B3196" s="20"/>
      <c r="C3196" s="18"/>
      <c r="D3196" s="18"/>
      <c r="E3196" s="18"/>
      <c r="F3196" s="18"/>
      <c r="G3196" s="160" t="s">
        <v>312</v>
      </c>
      <c r="H3196" s="18"/>
      <c r="I3196" s="18"/>
      <c r="J3196" s="139">
        <f>VLOOKUP(B3188,'Mil Cost Premiums for RUCs'!$A$4:$R$266,18,FALSE)</f>
        <v>1.2051322894313463</v>
      </c>
      <c r="K3196" s="23">
        <f>+K3195*J3196</f>
        <v>157.92313018352741</v>
      </c>
      <c r="L3196" s="20" t="s">
        <v>8</v>
      </c>
      <c r="M3196" s="1146"/>
      <c r="N3196" s="1103"/>
      <c r="O3196"/>
      <c r="P3196" s="159"/>
      <c r="Q3196" s="147"/>
      <c r="R3196" s="149"/>
    </row>
    <row r="3197" spans="1:24" ht="30" customHeight="1" thickBot="1">
      <c r="A3197" s="1165"/>
      <c r="B3197" s="1166"/>
      <c r="C3197" s="1166"/>
      <c r="D3197" s="1166"/>
      <c r="E3197" s="1166"/>
      <c r="F3197" s="1166"/>
      <c r="G3197" s="1166"/>
      <c r="H3197" s="1166"/>
      <c r="I3197" s="1166"/>
      <c r="J3197" s="1166"/>
      <c r="K3197" s="1166"/>
      <c r="L3197" s="1167"/>
      <c r="M3197" s="1146"/>
      <c r="N3197" s="1103"/>
      <c r="O3197"/>
      <c r="P3197" s="159"/>
      <c r="Q3197" s="147"/>
      <c r="R3197" s="149"/>
      <c r="T3197" s="38"/>
      <c r="U3197" s="38"/>
      <c r="V3197" s="38"/>
      <c r="W3197" s="38"/>
      <c r="X3197" s="38"/>
    </row>
    <row r="3198" spans="1:24" s="38" customFormat="1" ht="30" customHeight="1">
      <c r="A3198" s="81" t="s">
        <v>280</v>
      </c>
      <c r="B3198" s="82">
        <v>7431</v>
      </c>
      <c r="C3198" s="1197" t="s">
        <v>1763</v>
      </c>
      <c r="D3198" s="1198"/>
      <c r="E3198" s="74" t="s">
        <v>282</v>
      </c>
      <c r="F3198" s="75" t="s">
        <v>8</v>
      </c>
      <c r="G3198" s="58" t="s">
        <v>290</v>
      </c>
      <c r="H3198" s="76">
        <v>12252</v>
      </c>
      <c r="I3198" s="74" t="s">
        <v>283</v>
      </c>
      <c r="J3198" s="1199" t="s">
        <v>2644</v>
      </c>
      <c r="K3198" s="1199"/>
      <c r="L3198" s="1200"/>
      <c r="M3198" s="1146"/>
      <c r="N3198" s="1103"/>
      <c r="P3198" s="159"/>
      <c r="Q3198" s="147"/>
      <c r="R3198" s="149"/>
      <c r="T3198"/>
      <c r="U3198"/>
      <c r="V3198"/>
      <c r="W3198"/>
      <c r="X3198"/>
    </row>
    <row r="3199" spans="1:24" ht="30" customHeight="1">
      <c r="A3199" s="79" t="s">
        <v>304</v>
      </c>
      <c r="B3199" s="1201" t="s">
        <v>330</v>
      </c>
      <c r="C3199" s="1202"/>
      <c r="D3199" s="1203"/>
      <c r="E3199" s="150" t="s">
        <v>295</v>
      </c>
      <c r="F3199" s="150" t="s">
        <v>331</v>
      </c>
      <c r="G3199" s="1204" t="s">
        <v>332</v>
      </c>
      <c r="H3199" s="1205"/>
      <c r="I3199" s="77" t="s">
        <v>305</v>
      </c>
      <c r="J3199" s="77"/>
      <c r="K3199" s="1206" t="s">
        <v>297</v>
      </c>
      <c r="L3199" s="1207"/>
      <c r="M3199" s="1146"/>
      <c r="N3199" s="1103"/>
      <c r="O3199"/>
      <c r="P3199" s="159"/>
      <c r="Q3199" s="147"/>
      <c r="R3199" s="149"/>
    </row>
    <row r="3200" spans="1:24" ht="30" customHeight="1">
      <c r="A3200" s="1050" t="s">
        <v>1764</v>
      </c>
      <c r="B3200" s="1655" t="s">
        <v>1765</v>
      </c>
      <c r="C3200" s="1612"/>
      <c r="D3200" s="1613"/>
      <c r="E3200" s="1051">
        <v>104</v>
      </c>
      <c r="F3200" s="1052" t="s">
        <v>8</v>
      </c>
      <c r="G3200" s="1049"/>
      <c r="H3200" s="703"/>
      <c r="I3200" s="634">
        <v>1.08</v>
      </c>
      <c r="J3200" s="1053"/>
      <c r="K3200" s="1051">
        <f>+E3200*I3200</f>
        <v>112.32000000000001</v>
      </c>
      <c r="L3200" s="634" t="s">
        <v>8</v>
      </c>
      <c r="M3200" s="1146"/>
      <c r="N3200" s="1103"/>
      <c r="O3200"/>
      <c r="P3200" s="159"/>
      <c r="Q3200" s="147"/>
      <c r="R3200" s="149"/>
    </row>
    <row r="3201" spans="1:18" ht="30" customHeight="1">
      <c r="A3201" s="1054" t="s">
        <v>2646</v>
      </c>
      <c r="B3201" s="1176" t="s">
        <v>2904</v>
      </c>
      <c r="C3201" s="1177"/>
      <c r="D3201" s="1178"/>
      <c r="E3201" s="153">
        <f>(186+228)/2</f>
        <v>207</v>
      </c>
      <c r="F3201" s="20" t="s">
        <v>2645</v>
      </c>
      <c r="G3201" s="20">
        <f>1000*E3201/H3198</f>
        <v>16.895200783545544</v>
      </c>
      <c r="H3201" s="20" t="s">
        <v>2647</v>
      </c>
      <c r="I3201" s="20">
        <v>1.04</v>
      </c>
      <c r="J3201" s="326"/>
      <c r="K3201" s="153">
        <f>G3201*I3201</f>
        <v>17.571008814887367</v>
      </c>
      <c r="L3201" s="20" t="s">
        <v>8</v>
      </c>
      <c r="M3201" s="1146"/>
      <c r="N3201" s="1103"/>
      <c r="O3201"/>
      <c r="P3201" s="159"/>
      <c r="Q3201" s="147"/>
      <c r="R3201" s="149"/>
    </row>
    <row r="3202" spans="1:18" ht="30" customHeight="1">
      <c r="A3202" s="20" t="s">
        <v>1746</v>
      </c>
      <c r="B3202" s="1267" t="s">
        <v>2648</v>
      </c>
      <c r="C3202" s="1267"/>
      <c r="D3202" s="1267"/>
      <c r="E3202" s="153">
        <v>3.49</v>
      </c>
      <c r="F3202" s="20" t="s">
        <v>8</v>
      </c>
      <c r="G3202" s="206"/>
      <c r="H3202" s="20"/>
      <c r="I3202" s="20">
        <v>1.08</v>
      </c>
      <c r="J3202" s="326"/>
      <c r="K3202" s="153">
        <f>+E3202*I3202</f>
        <v>3.7692000000000005</v>
      </c>
      <c r="L3202" s="20" t="s">
        <v>8</v>
      </c>
      <c r="M3202" s="1146"/>
      <c r="N3202" s="1103"/>
      <c r="O3202"/>
      <c r="P3202" s="159"/>
      <c r="Q3202" s="147"/>
      <c r="R3202" s="149"/>
    </row>
    <row r="3203" spans="1:18" ht="30" customHeight="1">
      <c r="A3203" s="690"/>
      <c r="B3203" s="1638"/>
      <c r="C3203" s="1639"/>
      <c r="D3203" s="1640"/>
      <c r="E3203" s="686"/>
      <c r="F3203" s="690"/>
      <c r="G3203" s="690"/>
      <c r="H3203" s="690"/>
      <c r="I3203" s="690"/>
      <c r="J3203" s="690" t="s">
        <v>346</v>
      </c>
      <c r="K3203" s="686">
        <f>SUM(K3200:K3202)</f>
        <v>133.6602088148874</v>
      </c>
      <c r="L3203" s="690" t="s">
        <v>8</v>
      </c>
      <c r="M3203" s="1146"/>
      <c r="N3203" s="1103"/>
      <c r="O3203"/>
      <c r="P3203" s="159"/>
      <c r="Q3203" s="147"/>
      <c r="R3203" s="149"/>
    </row>
    <row r="3204" spans="1:18" ht="30" customHeight="1">
      <c r="A3204" s="20"/>
      <c r="B3204" s="157"/>
      <c r="C3204" s="157"/>
      <c r="D3204" s="157"/>
      <c r="E3204" s="153"/>
      <c r="F3204" s="1174" t="s">
        <v>308</v>
      </c>
      <c r="G3204" s="1208" t="s">
        <v>309</v>
      </c>
      <c r="H3204" s="1208"/>
      <c r="I3204" s="1208"/>
      <c r="J3204" s="1208"/>
      <c r="K3204" s="123">
        <v>1.06</v>
      </c>
      <c r="L3204" s="10"/>
      <c r="M3204" s="1146"/>
      <c r="N3204" s="1103"/>
      <c r="O3204"/>
      <c r="P3204" s="159"/>
      <c r="Q3204" s="147"/>
      <c r="R3204" s="149"/>
    </row>
    <row r="3205" spans="1:18" ht="30" customHeight="1">
      <c r="A3205" s="20"/>
      <c r="B3205" s="157"/>
      <c r="C3205" s="157"/>
      <c r="D3205" s="157"/>
      <c r="E3205" s="153"/>
      <c r="F3205" s="1175"/>
      <c r="G3205" s="1209" t="s">
        <v>310</v>
      </c>
      <c r="H3205" s="1209"/>
      <c r="I3205" s="1209"/>
      <c r="J3205" s="1209"/>
      <c r="K3205" s="123">
        <v>1.07</v>
      </c>
      <c r="L3205" s="10"/>
      <c r="M3205" s="1146"/>
      <c r="N3205" s="1103"/>
      <c r="O3205"/>
      <c r="P3205" s="159"/>
      <c r="Q3205" s="147"/>
      <c r="R3205" s="149"/>
    </row>
    <row r="3206" spans="1:18" ht="30" customHeight="1">
      <c r="A3206" s="20"/>
      <c r="B3206" s="20"/>
      <c r="C3206" s="18"/>
      <c r="D3206" s="18"/>
      <c r="E3206" s="18"/>
      <c r="F3206" s="18"/>
      <c r="G3206" s="18"/>
      <c r="H3206" s="18"/>
      <c r="I3206" s="18"/>
      <c r="J3206" s="20" t="s">
        <v>289</v>
      </c>
      <c r="K3206" s="23">
        <f>+K3203*K3204/K3205</f>
        <v>132.41104798484173</v>
      </c>
      <c r="L3206" s="20" t="s">
        <v>8</v>
      </c>
      <c r="M3206" s="1146"/>
      <c r="N3206" s="1103"/>
      <c r="O3206"/>
      <c r="P3206" s="159"/>
      <c r="Q3206" s="147"/>
      <c r="R3206" s="149"/>
    </row>
    <row r="3207" spans="1:18" ht="30" customHeight="1" thickBot="1">
      <c r="A3207" s="20"/>
      <c r="B3207" s="20"/>
      <c r="C3207" s="18"/>
      <c r="D3207" s="18"/>
      <c r="E3207" s="18"/>
      <c r="F3207" s="18"/>
      <c r="G3207" s="160" t="s">
        <v>312</v>
      </c>
      <c r="H3207" s="18"/>
      <c r="I3207" s="18"/>
      <c r="J3207" s="139">
        <f>VLOOKUP(B3198,'Mil Cost Premiums for RUCs'!$A$4:$R$266,18,FALSE)</f>
        <v>1.3148549708569053</v>
      </c>
      <c r="K3207" s="23">
        <f>+K3206*J3207</f>
        <v>174.10132463924137</v>
      </c>
      <c r="L3207" s="20" t="s">
        <v>8</v>
      </c>
      <c r="M3207" s="1146"/>
      <c r="N3207" s="1103"/>
      <c r="O3207"/>
      <c r="P3207" s="159"/>
      <c r="Q3207" s="147"/>
      <c r="R3207" s="149"/>
    </row>
    <row r="3208" spans="1:18" ht="30" customHeight="1" thickBot="1">
      <c r="A3208" s="1165"/>
      <c r="B3208" s="1166"/>
      <c r="C3208" s="1166"/>
      <c r="D3208" s="1166"/>
      <c r="E3208" s="1166"/>
      <c r="F3208" s="1166"/>
      <c r="G3208" s="1166"/>
      <c r="H3208" s="1166"/>
      <c r="I3208" s="1166"/>
      <c r="J3208" s="1166"/>
      <c r="K3208" s="1166"/>
      <c r="L3208" s="1167"/>
      <c r="M3208" s="1146"/>
      <c r="N3208" s="1103"/>
      <c r="O3208"/>
      <c r="P3208" s="159"/>
      <c r="Q3208" s="147"/>
      <c r="R3208" s="149"/>
    </row>
    <row r="3209" spans="1:18" ht="30" customHeight="1">
      <c r="A3209" s="81" t="s">
        <v>280</v>
      </c>
      <c r="B3209" s="82">
        <v>7440</v>
      </c>
      <c r="C3209" s="1197" t="s">
        <v>1766</v>
      </c>
      <c r="D3209" s="1198"/>
      <c r="E3209" s="74" t="s">
        <v>282</v>
      </c>
      <c r="F3209" s="75" t="s">
        <v>8</v>
      </c>
      <c r="G3209" s="58" t="s">
        <v>290</v>
      </c>
      <c r="H3209" s="76">
        <v>8984</v>
      </c>
      <c r="I3209" s="74" t="s">
        <v>283</v>
      </c>
      <c r="J3209" s="1199" t="s">
        <v>2529</v>
      </c>
      <c r="K3209" s="1199"/>
      <c r="L3209" s="1200"/>
      <c r="M3209" s="1146"/>
      <c r="N3209" s="1103"/>
      <c r="O3209"/>
      <c r="P3209" s="159"/>
      <c r="Q3209" s="147"/>
      <c r="R3209" s="149"/>
    </row>
    <row r="3210" spans="1:18" ht="30" customHeight="1">
      <c r="A3210" s="79" t="s">
        <v>304</v>
      </c>
      <c r="B3210" s="1201" t="s">
        <v>330</v>
      </c>
      <c r="C3210" s="1202"/>
      <c r="D3210" s="1203"/>
      <c r="E3210" s="150" t="s">
        <v>295</v>
      </c>
      <c r="F3210" s="150" t="s">
        <v>331</v>
      </c>
      <c r="G3210" s="1204" t="s">
        <v>332</v>
      </c>
      <c r="H3210" s="1205"/>
      <c r="I3210" s="77" t="s">
        <v>305</v>
      </c>
      <c r="J3210" s="77"/>
      <c r="K3210" s="1206" t="s">
        <v>297</v>
      </c>
      <c r="L3210" s="1207"/>
      <c r="M3210" s="1146"/>
      <c r="N3210" s="1103"/>
      <c r="O3210"/>
      <c r="P3210" s="159"/>
      <c r="Q3210" s="147"/>
      <c r="R3210" s="149"/>
    </row>
    <row r="3211" spans="1:18" ht="30" customHeight="1">
      <c r="A3211" s="351" t="s">
        <v>1752</v>
      </c>
      <c r="B3211" s="1267" t="s">
        <v>1767</v>
      </c>
      <c r="C3211" s="1267"/>
      <c r="D3211" s="1267"/>
      <c r="E3211" s="153">
        <v>168</v>
      </c>
      <c r="F3211" s="20" t="s">
        <v>8</v>
      </c>
      <c r="G3211" s="20"/>
      <c r="H3211" s="20"/>
      <c r="I3211" s="20">
        <v>1.08</v>
      </c>
      <c r="J3211" s="20"/>
      <c r="K3211" s="153">
        <f>+E3211*I3211</f>
        <v>181.44</v>
      </c>
      <c r="L3211" s="20" t="s">
        <v>8</v>
      </c>
      <c r="M3211" s="1146"/>
      <c r="N3211" s="1103"/>
      <c r="O3211" s="34"/>
      <c r="P3211" s="283"/>
      <c r="Q3211" s="282"/>
      <c r="R3211" s="284"/>
    </row>
    <row r="3212" spans="1:18" ht="30" customHeight="1">
      <c r="A3212" s="351" t="s">
        <v>1746</v>
      </c>
      <c r="B3212" s="1267" t="s">
        <v>1682</v>
      </c>
      <c r="C3212" s="1267"/>
      <c r="D3212" s="1267"/>
      <c r="E3212" s="153">
        <v>3.75</v>
      </c>
      <c r="F3212" s="20" t="s">
        <v>8</v>
      </c>
      <c r="G3212" s="206"/>
      <c r="H3212" s="20"/>
      <c r="I3212" s="20">
        <v>1.08</v>
      </c>
      <c r="J3212" s="20"/>
      <c r="K3212" s="153">
        <f>+E3212*I3212</f>
        <v>4.0500000000000007</v>
      </c>
      <c r="L3212" s="20" t="s">
        <v>8</v>
      </c>
      <c r="M3212" s="1146"/>
      <c r="N3212" s="1103"/>
      <c r="O3212" s="34"/>
      <c r="P3212" s="283"/>
      <c r="Q3212" s="282"/>
      <c r="R3212" s="284"/>
    </row>
    <row r="3213" spans="1:18" ht="30" customHeight="1">
      <c r="A3213" s="690"/>
      <c r="B3213" s="1638"/>
      <c r="C3213" s="1639"/>
      <c r="D3213" s="1640"/>
      <c r="E3213" s="686"/>
      <c r="F3213" s="690"/>
      <c r="G3213" s="690"/>
      <c r="H3213" s="690"/>
      <c r="I3213" s="690"/>
      <c r="J3213" s="690" t="s">
        <v>346</v>
      </c>
      <c r="K3213" s="686">
        <f>SUM(K3211:K3212)</f>
        <v>185.49</v>
      </c>
      <c r="L3213" s="690" t="s">
        <v>8</v>
      </c>
      <c r="M3213" s="1146"/>
      <c r="N3213" s="1103"/>
      <c r="O3213"/>
      <c r="P3213" s="159"/>
      <c r="Q3213" s="147"/>
      <c r="R3213" s="149"/>
    </row>
    <row r="3214" spans="1:18" ht="30" customHeight="1">
      <c r="A3214" s="20"/>
      <c r="B3214" s="157"/>
      <c r="C3214" s="157"/>
      <c r="D3214" s="157"/>
      <c r="E3214" s="153"/>
      <c r="F3214" s="1174" t="s">
        <v>308</v>
      </c>
      <c r="G3214" s="1208" t="s">
        <v>309</v>
      </c>
      <c r="H3214" s="1208"/>
      <c r="I3214" s="1208"/>
      <c r="J3214" s="1208"/>
      <c r="K3214" s="123">
        <v>1.06</v>
      </c>
      <c r="L3214" s="10"/>
      <c r="M3214" s="1146"/>
      <c r="N3214" s="1103"/>
      <c r="O3214"/>
      <c r="P3214" s="159"/>
      <c r="Q3214" s="147"/>
      <c r="R3214" s="149"/>
    </row>
    <row r="3215" spans="1:18" ht="30" customHeight="1">
      <c r="A3215" s="20"/>
      <c r="B3215" s="157"/>
      <c r="C3215" s="157"/>
      <c r="D3215" s="157"/>
      <c r="E3215" s="153"/>
      <c r="F3215" s="1175"/>
      <c r="G3215" s="1209" t="s">
        <v>310</v>
      </c>
      <c r="H3215" s="1209"/>
      <c r="I3215" s="1209"/>
      <c r="J3215" s="1209"/>
      <c r="K3215" s="123">
        <v>1.07</v>
      </c>
      <c r="L3215" s="10"/>
      <c r="M3215" s="1146"/>
      <c r="N3215" s="1103"/>
      <c r="O3215"/>
      <c r="P3215" s="159"/>
      <c r="Q3215" s="147"/>
      <c r="R3215" s="149"/>
    </row>
    <row r="3216" spans="1:18" ht="30" customHeight="1">
      <c r="A3216" s="20"/>
      <c r="B3216" s="20"/>
      <c r="C3216" s="18"/>
      <c r="D3216" s="18"/>
      <c r="E3216" s="18"/>
      <c r="F3216" s="18"/>
      <c r="G3216" s="18"/>
      <c r="H3216" s="18"/>
      <c r="I3216" s="18"/>
      <c r="J3216" s="20" t="s">
        <v>289</v>
      </c>
      <c r="K3216" s="23">
        <f>+K3213*K3214/K3215</f>
        <v>183.75644859813085</v>
      </c>
      <c r="L3216" s="20" t="s">
        <v>8</v>
      </c>
      <c r="M3216" s="1146"/>
      <c r="N3216" s="1103"/>
      <c r="O3216"/>
      <c r="P3216" s="159"/>
      <c r="Q3216" s="147"/>
      <c r="R3216" s="149"/>
    </row>
    <row r="3217" spans="1:24" ht="30" customHeight="1" thickBot="1">
      <c r="A3217" s="20"/>
      <c r="B3217" s="20"/>
      <c r="C3217" s="18"/>
      <c r="D3217" s="18"/>
      <c r="E3217" s="18"/>
      <c r="F3217" s="18"/>
      <c r="G3217" s="160" t="s">
        <v>312</v>
      </c>
      <c r="H3217" s="18"/>
      <c r="I3217" s="18"/>
      <c r="J3217" s="139">
        <f>VLOOKUP(B3209,'Mil Cost Premiums for RUCs'!$A$4:$R$266,18,FALSE)</f>
        <v>1.3148549708569053</v>
      </c>
      <c r="K3217" s="23">
        <f>+K3216*J3217</f>
        <v>241.61307986626375</v>
      </c>
      <c r="L3217" s="20" t="s">
        <v>8</v>
      </c>
      <c r="M3217" s="1146"/>
      <c r="N3217" s="1103"/>
      <c r="O3217"/>
      <c r="P3217" s="159"/>
      <c r="Q3217" s="147"/>
      <c r="R3217" s="149"/>
    </row>
    <row r="3218" spans="1:24" ht="30" customHeight="1" thickBot="1">
      <c r="A3218" s="1165"/>
      <c r="B3218" s="1166"/>
      <c r="C3218" s="1166"/>
      <c r="D3218" s="1166"/>
      <c r="E3218" s="1166"/>
      <c r="F3218" s="1166"/>
      <c r="G3218" s="1166"/>
      <c r="H3218" s="1166"/>
      <c r="I3218" s="1477"/>
      <c r="J3218" s="1477"/>
      <c r="K3218" s="1477"/>
      <c r="L3218" s="1478"/>
      <c r="M3218" s="1146"/>
      <c r="N3218" s="1103"/>
      <c r="O3218"/>
      <c r="P3218" s="159"/>
      <c r="Q3218" s="147"/>
      <c r="R3218" s="149"/>
    </row>
    <row r="3219" spans="1:24" ht="30" customHeight="1">
      <c r="A3219" s="81" t="s">
        <v>280</v>
      </c>
      <c r="B3219" s="82">
        <v>7441</v>
      </c>
      <c r="C3219" s="1228" t="s">
        <v>1768</v>
      </c>
      <c r="D3219" s="1229"/>
      <c r="E3219" s="74" t="s">
        <v>282</v>
      </c>
      <c r="F3219" s="75" t="s">
        <v>8</v>
      </c>
      <c r="G3219" s="58" t="s">
        <v>290</v>
      </c>
      <c r="H3219" s="76">
        <v>15206</v>
      </c>
      <c r="I3219" s="97" t="s">
        <v>283</v>
      </c>
      <c r="J3219" s="1656" t="s">
        <v>302</v>
      </c>
      <c r="K3219" s="1460"/>
      <c r="L3219" s="1460"/>
      <c r="M3219" s="1146"/>
      <c r="N3219" s="1103"/>
      <c r="O3219"/>
      <c r="P3219" s="159"/>
      <c r="Q3219" s="147"/>
      <c r="R3219" s="149"/>
    </row>
    <row r="3220" spans="1:24" ht="30" customHeight="1">
      <c r="A3220" s="77" t="s">
        <v>293</v>
      </c>
      <c r="B3220" s="1232" t="s">
        <v>284</v>
      </c>
      <c r="C3220" s="1232"/>
      <c r="D3220" s="1232"/>
      <c r="E3220" s="96" t="s">
        <v>295</v>
      </c>
      <c r="F3220" s="77" t="s">
        <v>294</v>
      </c>
      <c r="G3220" s="1365" t="s">
        <v>332</v>
      </c>
      <c r="H3220" s="1366"/>
      <c r="I3220" s="1657" t="s">
        <v>296</v>
      </c>
      <c r="J3220" s="1657"/>
      <c r="K3220" s="1567" t="s">
        <v>297</v>
      </c>
      <c r="L3220" s="1567"/>
      <c r="M3220" s="1146"/>
      <c r="N3220" s="282"/>
      <c r="O3220"/>
      <c r="P3220" s="159"/>
      <c r="Q3220" s="147"/>
      <c r="R3220" s="149"/>
    </row>
    <row r="3221" spans="1:24" ht="30" customHeight="1">
      <c r="A3221" s="20">
        <v>72412</v>
      </c>
      <c r="B3221" s="1179" t="s">
        <v>1769</v>
      </c>
      <c r="C3221" s="1180"/>
      <c r="D3221" s="1181"/>
      <c r="E3221" s="153">
        <v>305</v>
      </c>
      <c r="F3221" s="316">
        <v>28000</v>
      </c>
      <c r="G3221" s="529"/>
      <c r="H3221" s="286"/>
      <c r="I3221" s="1658">
        <f>+'2019 MILCON Inflation Table'!$F$15</f>
        <v>1</v>
      </c>
      <c r="J3221" s="1658"/>
      <c r="K3221" s="106">
        <f>+E3221*I3221</f>
        <v>305</v>
      </c>
      <c r="L3221" s="97" t="s">
        <v>8</v>
      </c>
      <c r="M3221" s="1146"/>
      <c r="N3221" s="282"/>
      <c r="O3221"/>
      <c r="P3221" s="159"/>
      <c r="Q3221" s="147"/>
      <c r="R3221" s="149"/>
    </row>
    <row r="3222" spans="1:24" ht="30" customHeight="1">
      <c r="A3222" s="20">
        <v>72412</v>
      </c>
      <c r="B3222" s="1179" t="s">
        <v>1770</v>
      </c>
      <c r="C3222" s="1180"/>
      <c r="D3222" s="1181"/>
      <c r="E3222" s="153">
        <v>305</v>
      </c>
      <c r="F3222" s="316">
        <v>28000</v>
      </c>
      <c r="G3222" s="529"/>
      <c r="H3222" s="286"/>
      <c r="I3222" s="1546">
        <f>+'2019 MILCON Inflation Table'!$F$15</f>
        <v>1</v>
      </c>
      <c r="J3222" s="1547"/>
      <c r="K3222" s="106">
        <f>+E3222*I3222</f>
        <v>305</v>
      </c>
      <c r="L3222" s="97" t="s">
        <v>8</v>
      </c>
      <c r="M3222" s="1146"/>
      <c r="N3222" s="1103"/>
      <c r="O3222"/>
      <c r="P3222" s="159"/>
      <c r="Q3222" s="147"/>
      <c r="R3222" s="149"/>
    </row>
    <row r="3223" spans="1:24" ht="30" customHeight="1">
      <c r="A3223" s="20"/>
      <c r="B3223" s="207"/>
      <c r="C3223" s="208"/>
      <c r="D3223" s="155"/>
      <c r="E3223" s="287"/>
      <c r="F3223" s="527"/>
      <c r="G3223" s="528"/>
      <c r="H3223" s="529"/>
      <c r="I3223" s="530"/>
      <c r="J3223" s="531" t="s">
        <v>311</v>
      </c>
      <c r="K3223" s="106">
        <f>AVERAGE(K3221:K3222)</f>
        <v>305</v>
      </c>
      <c r="L3223" s="97" t="s">
        <v>8</v>
      </c>
      <c r="M3223" s="1146"/>
      <c r="N3223" s="1103"/>
      <c r="O3223"/>
      <c r="P3223" s="159"/>
      <c r="Q3223" s="147"/>
      <c r="R3223" s="149"/>
    </row>
    <row r="3224" spans="1:24" ht="30" customHeight="1" thickBot="1">
      <c r="A3224" s="20"/>
      <c r="B3224" s="1179"/>
      <c r="C3224" s="1180"/>
      <c r="D3224" s="1181"/>
      <c r="E3224" s="181"/>
      <c r="F3224" s="338"/>
      <c r="G3224" s="181"/>
      <c r="H3224" s="339"/>
      <c r="I3224" s="18"/>
      <c r="J3224" s="20" t="s">
        <v>289</v>
      </c>
      <c r="K3224" s="107">
        <f>+K3223</f>
        <v>305</v>
      </c>
      <c r="L3224" s="97" t="s">
        <v>8</v>
      </c>
      <c r="M3224" s="1146"/>
      <c r="N3224" s="1103"/>
      <c r="O3224"/>
      <c r="P3224" s="159"/>
      <c r="Q3224" s="147"/>
      <c r="R3224" s="149"/>
    </row>
    <row r="3225" spans="1:24" ht="30" customHeight="1" thickBot="1">
      <c r="A3225" s="1165"/>
      <c r="B3225" s="1166"/>
      <c r="C3225" s="1166"/>
      <c r="D3225" s="1166"/>
      <c r="E3225" s="1166"/>
      <c r="F3225" s="1166"/>
      <c r="G3225" s="1166"/>
      <c r="H3225" s="1166"/>
      <c r="I3225" s="1166"/>
      <c r="J3225" s="1166"/>
      <c r="K3225" s="1166"/>
      <c r="L3225" s="1167"/>
      <c r="M3225" s="1146"/>
      <c r="N3225" s="1103"/>
      <c r="O3225"/>
      <c r="P3225" s="159"/>
      <c r="Q3225" s="147"/>
      <c r="R3225" s="149"/>
    </row>
    <row r="3226" spans="1:24" ht="30" customHeight="1">
      <c r="A3226" s="27" t="s">
        <v>280</v>
      </c>
      <c r="B3226" s="28">
        <v>7442</v>
      </c>
      <c r="C3226" s="1393" t="s">
        <v>1771</v>
      </c>
      <c r="D3226" s="1394"/>
      <c r="E3226" s="74" t="s">
        <v>282</v>
      </c>
      <c r="F3226" s="75" t="s">
        <v>8</v>
      </c>
      <c r="G3226" s="58" t="s">
        <v>290</v>
      </c>
      <c r="H3226" s="76">
        <v>2576</v>
      </c>
      <c r="I3226" s="74" t="s">
        <v>283</v>
      </c>
      <c r="J3226" s="1199" t="s">
        <v>2529</v>
      </c>
      <c r="K3226" s="1199"/>
      <c r="L3226" s="1200"/>
      <c r="M3226" s="1146"/>
      <c r="N3226" s="1103"/>
      <c r="O3226"/>
      <c r="P3226" s="159"/>
      <c r="Q3226" s="147"/>
      <c r="R3226" s="149"/>
      <c r="T3226" s="38"/>
      <c r="U3226" s="38"/>
      <c r="V3226" s="38"/>
      <c r="W3226" s="38"/>
      <c r="X3226" s="38"/>
    </row>
    <row r="3227" spans="1:24" s="38" customFormat="1" ht="30" customHeight="1">
      <c r="A3227" s="37" t="s">
        <v>304</v>
      </c>
      <c r="B3227" s="1300" t="s">
        <v>330</v>
      </c>
      <c r="C3227" s="1301"/>
      <c r="D3227" s="1302"/>
      <c r="E3227" s="150" t="s">
        <v>295</v>
      </c>
      <c r="F3227" s="150" t="s">
        <v>331</v>
      </c>
      <c r="G3227" s="1204" t="s">
        <v>332</v>
      </c>
      <c r="H3227" s="1205"/>
      <c r="I3227" s="77" t="s">
        <v>305</v>
      </c>
      <c r="J3227" s="77"/>
      <c r="K3227" s="1206" t="s">
        <v>297</v>
      </c>
      <c r="L3227" s="1207"/>
      <c r="M3227" s="1146"/>
      <c r="N3227" s="1103"/>
      <c r="P3227" s="159"/>
      <c r="Q3227" s="147"/>
      <c r="R3227" s="149"/>
      <c r="T3227"/>
      <c r="U3227"/>
      <c r="V3227"/>
      <c r="W3227"/>
      <c r="X3227"/>
    </row>
    <row r="3228" spans="1:24" ht="30" customHeight="1">
      <c r="A3228" s="652" t="s">
        <v>1772</v>
      </c>
      <c r="B3228" s="1386" t="s">
        <v>1773</v>
      </c>
      <c r="C3228" s="1386"/>
      <c r="D3228" s="1386"/>
      <c r="E3228" s="153">
        <v>87.52</v>
      </c>
      <c r="F3228" s="20" t="s">
        <v>8</v>
      </c>
      <c r="G3228" s="20"/>
      <c r="H3228" s="20"/>
      <c r="I3228" s="20">
        <v>1.02</v>
      </c>
      <c r="J3228" s="20"/>
      <c r="K3228" s="153">
        <f>+E3228*I3228</f>
        <v>89.270399999999995</v>
      </c>
      <c r="L3228" s="20" t="s">
        <v>8</v>
      </c>
      <c r="M3228" s="1146"/>
      <c r="N3228" s="1103"/>
      <c r="O3228"/>
      <c r="P3228" s="159"/>
      <c r="Q3228" s="147"/>
      <c r="R3228" s="149"/>
    </row>
    <row r="3229" spans="1:24" ht="30" customHeight="1">
      <c r="A3229" s="652" t="s">
        <v>1561</v>
      </c>
      <c r="B3229" s="1386" t="s">
        <v>1533</v>
      </c>
      <c r="C3229" s="1386"/>
      <c r="D3229" s="1386"/>
      <c r="E3229" s="153">
        <v>3.57</v>
      </c>
      <c r="F3229" s="20" t="s">
        <v>8</v>
      </c>
      <c r="G3229" s="206"/>
      <c r="H3229" s="20"/>
      <c r="I3229" s="20">
        <v>1.02</v>
      </c>
      <c r="J3229" s="20"/>
      <c r="K3229" s="153">
        <f>+E3229*I3229</f>
        <v>3.6414</v>
      </c>
      <c r="L3229" s="20" t="s">
        <v>8</v>
      </c>
      <c r="M3229" s="1146"/>
      <c r="N3229" s="1103"/>
      <c r="O3229"/>
      <c r="P3229" s="159"/>
      <c r="Q3229" s="147"/>
      <c r="R3229" s="149"/>
    </row>
    <row r="3230" spans="1:24" ht="30" customHeight="1">
      <c r="A3230" s="690"/>
      <c r="B3230" s="1638"/>
      <c r="C3230" s="1639"/>
      <c r="D3230" s="1640"/>
      <c r="E3230" s="686"/>
      <c r="F3230" s="690"/>
      <c r="G3230" s="690"/>
      <c r="H3230" s="690"/>
      <c r="I3230" s="690"/>
      <c r="J3230" s="690" t="s">
        <v>346</v>
      </c>
      <c r="K3230" s="686">
        <f>SUM(K3228:K3229)</f>
        <v>92.911799999999999</v>
      </c>
      <c r="L3230" s="690" t="s">
        <v>8</v>
      </c>
      <c r="M3230" s="1146"/>
      <c r="N3230" s="1103"/>
      <c r="O3230"/>
      <c r="P3230" s="159"/>
      <c r="Q3230" s="147"/>
      <c r="R3230" s="149"/>
    </row>
    <row r="3231" spans="1:24" ht="30" customHeight="1">
      <c r="A3231" s="45"/>
      <c r="B3231" s="189"/>
      <c r="C3231" s="189"/>
      <c r="D3231" s="189"/>
      <c r="E3231" s="153"/>
      <c r="F3231" s="1174" t="s">
        <v>308</v>
      </c>
      <c r="G3231" s="1208" t="s">
        <v>309</v>
      </c>
      <c r="H3231" s="1208"/>
      <c r="I3231" s="1208"/>
      <c r="J3231" s="1208"/>
      <c r="K3231" s="123">
        <v>1.06</v>
      </c>
      <c r="L3231" s="10"/>
      <c r="M3231" s="1146"/>
      <c r="N3231" s="1103"/>
      <c r="O3231" s="34"/>
      <c r="P3231" s="283"/>
      <c r="Q3231" s="282"/>
      <c r="R3231" s="284"/>
    </row>
    <row r="3232" spans="1:24" ht="30" customHeight="1">
      <c r="A3232" s="45"/>
      <c r="B3232" s="189"/>
      <c r="C3232" s="189"/>
      <c r="D3232" s="189"/>
      <c r="E3232" s="153"/>
      <c r="F3232" s="1175"/>
      <c r="G3232" s="1209" t="s">
        <v>310</v>
      </c>
      <c r="H3232" s="1209"/>
      <c r="I3232" s="1209"/>
      <c r="J3232" s="1209"/>
      <c r="K3232" s="123">
        <v>1.07</v>
      </c>
      <c r="L3232" s="10"/>
      <c r="M3232" s="1146"/>
      <c r="N3232" s="1103"/>
      <c r="O3232" s="34"/>
      <c r="P3232" s="283"/>
      <c r="Q3232" s="282"/>
      <c r="R3232" s="284"/>
    </row>
    <row r="3233" spans="1:24" ht="30" customHeight="1">
      <c r="A3233" s="45"/>
      <c r="B3233" s="45"/>
      <c r="C3233" s="46"/>
      <c r="D3233" s="46"/>
      <c r="E3233" s="18"/>
      <c r="F3233" s="18"/>
      <c r="G3233" s="18"/>
      <c r="H3233" s="18"/>
      <c r="I3233" s="18"/>
      <c r="J3233" s="20" t="s">
        <v>289</v>
      </c>
      <c r="K3233" s="23">
        <f>+K3230*K3231/K3232</f>
        <v>92.043465420560736</v>
      </c>
      <c r="L3233" s="20" t="s">
        <v>8</v>
      </c>
      <c r="M3233" s="1146"/>
      <c r="N3233" s="1103"/>
      <c r="O3233"/>
      <c r="P3233" s="159"/>
      <c r="Q3233" s="147"/>
      <c r="R3233" s="149"/>
    </row>
    <row r="3234" spans="1:24" ht="30" customHeight="1" thickBot="1">
      <c r="A3234" s="45"/>
      <c r="B3234" s="45"/>
      <c r="C3234" s="46"/>
      <c r="D3234" s="46"/>
      <c r="E3234" s="18"/>
      <c r="F3234" s="18"/>
      <c r="G3234" s="160" t="s">
        <v>312</v>
      </c>
      <c r="H3234" s="18"/>
      <c r="I3234" s="18"/>
      <c r="J3234" s="139">
        <f>VLOOKUP(B3226,'Mil Cost Premiums for RUCs'!$A$4:$R$266,18,FALSE)</f>
        <v>1.12897214704308</v>
      </c>
      <c r="K3234" s="23">
        <f>+K3233*J3234</f>
        <v>103.91450877713595</v>
      </c>
      <c r="L3234" s="20" t="s">
        <v>8</v>
      </c>
      <c r="M3234" s="1146"/>
      <c r="N3234" s="1103"/>
      <c r="O3234"/>
      <c r="P3234" s="159"/>
      <c r="Q3234" s="147"/>
      <c r="R3234" s="149"/>
    </row>
    <row r="3235" spans="1:24" ht="30" customHeight="1" thickBot="1">
      <c r="A3235" s="1165"/>
      <c r="B3235" s="1166"/>
      <c r="C3235" s="1166"/>
      <c r="D3235" s="1166"/>
      <c r="E3235" s="1166"/>
      <c r="F3235" s="1166"/>
      <c r="G3235" s="1166"/>
      <c r="H3235" s="1166"/>
      <c r="I3235" s="1166"/>
      <c r="J3235" s="1166"/>
      <c r="K3235" s="1166"/>
      <c r="L3235" s="1167"/>
      <c r="M3235" s="1146"/>
      <c r="N3235" s="1103"/>
      <c r="O3235"/>
      <c r="P3235" s="159"/>
      <c r="Q3235" s="147"/>
      <c r="R3235" s="149"/>
    </row>
    <row r="3236" spans="1:24" ht="30" customHeight="1">
      <c r="A3236" s="27" t="s">
        <v>280</v>
      </c>
      <c r="B3236" s="82">
        <v>7443</v>
      </c>
      <c r="C3236" s="1228" t="s">
        <v>1774</v>
      </c>
      <c r="D3236" s="1229"/>
      <c r="E3236" s="74" t="s">
        <v>282</v>
      </c>
      <c r="F3236" s="75" t="s">
        <v>8</v>
      </c>
      <c r="G3236" s="58" t="s">
        <v>290</v>
      </c>
      <c r="H3236" s="76">
        <v>1782</v>
      </c>
      <c r="I3236" s="74" t="s">
        <v>283</v>
      </c>
      <c r="J3236" s="1199" t="s">
        <v>2529</v>
      </c>
      <c r="K3236" s="1199"/>
      <c r="L3236" s="1200"/>
      <c r="M3236" s="1146"/>
      <c r="N3236" s="1103"/>
      <c r="O3236"/>
      <c r="P3236" s="159"/>
      <c r="Q3236" s="147"/>
      <c r="R3236" s="149"/>
      <c r="T3236" s="38"/>
      <c r="U3236" s="38"/>
      <c r="V3236" s="38"/>
      <c r="W3236" s="38"/>
      <c r="X3236" s="38"/>
    </row>
    <row r="3237" spans="1:24" s="38" customFormat="1" ht="30" customHeight="1">
      <c r="A3237" s="37" t="s">
        <v>304</v>
      </c>
      <c r="B3237" s="1201" t="s">
        <v>330</v>
      </c>
      <c r="C3237" s="1202"/>
      <c r="D3237" s="1203"/>
      <c r="E3237" s="150" t="s">
        <v>295</v>
      </c>
      <c r="F3237" s="150" t="s">
        <v>331</v>
      </c>
      <c r="G3237" s="1204" t="s">
        <v>332</v>
      </c>
      <c r="H3237" s="1205"/>
      <c r="I3237" s="77" t="s">
        <v>305</v>
      </c>
      <c r="J3237" s="77"/>
      <c r="K3237" s="1206" t="s">
        <v>297</v>
      </c>
      <c r="L3237" s="1207"/>
      <c r="M3237" s="1146"/>
      <c r="N3237" s="1103"/>
      <c r="P3237" s="159"/>
      <c r="Q3237" s="147"/>
      <c r="R3237" s="149"/>
      <c r="T3237"/>
      <c r="U3237"/>
      <c r="V3237"/>
      <c r="W3237"/>
      <c r="X3237"/>
    </row>
    <row r="3238" spans="1:24" ht="30" customHeight="1">
      <c r="A3238" s="652" t="s">
        <v>1497</v>
      </c>
      <c r="B3238" s="1179" t="s">
        <v>1498</v>
      </c>
      <c r="C3238" s="1180"/>
      <c r="D3238" s="1181"/>
      <c r="E3238" s="153">
        <v>25.75</v>
      </c>
      <c r="F3238" s="22" t="s">
        <v>8</v>
      </c>
      <c r="G3238" s="702"/>
      <c r="H3238" s="703"/>
      <c r="I3238" s="326">
        <v>1.1000000000000001</v>
      </c>
      <c r="J3238" s="20"/>
      <c r="K3238" s="153">
        <f>+E3238*I3238</f>
        <v>28.325000000000003</v>
      </c>
      <c r="L3238" s="20" t="s">
        <v>8</v>
      </c>
      <c r="M3238" s="1146"/>
      <c r="N3238" s="1103"/>
      <c r="O3238"/>
      <c r="P3238" s="159"/>
      <c r="Q3238" s="147"/>
      <c r="R3238" s="149"/>
    </row>
    <row r="3239" spans="1:24" ht="30" customHeight="1">
      <c r="A3239" s="45"/>
      <c r="B3239" s="157"/>
      <c r="C3239" s="157"/>
      <c r="D3239" s="157"/>
      <c r="E3239" s="153"/>
      <c r="F3239" s="1174" t="s">
        <v>308</v>
      </c>
      <c r="G3239" s="1208" t="s">
        <v>309</v>
      </c>
      <c r="H3239" s="1208"/>
      <c r="I3239" s="1208"/>
      <c r="J3239" s="1208"/>
      <c r="K3239" s="123">
        <v>1.06</v>
      </c>
      <c r="L3239" s="10"/>
      <c r="M3239" s="1146"/>
      <c r="N3239" s="1103"/>
      <c r="O3239"/>
      <c r="P3239" s="159"/>
      <c r="Q3239" s="147"/>
      <c r="R3239" s="149"/>
    </row>
    <row r="3240" spans="1:24" ht="30" customHeight="1">
      <c r="A3240" s="45"/>
      <c r="B3240" s="157"/>
      <c r="C3240" s="157"/>
      <c r="D3240" s="157"/>
      <c r="E3240" s="153"/>
      <c r="F3240" s="1175"/>
      <c r="G3240" s="1209" t="s">
        <v>310</v>
      </c>
      <c r="H3240" s="1209"/>
      <c r="I3240" s="1209"/>
      <c r="J3240" s="1209"/>
      <c r="K3240" s="123">
        <v>1.07</v>
      </c>
      <c r="L3240" s="10"/>
      <c r="M3240" s="1146"/>
      <c r="N3240" s="282"/>
      <c r="O3240"/>
      <c r="P3240" s="159"/>
      <c r="Q3240" s="147"/>
      <c r="R3240" s="149"/>
    </row>
    <row r="3241" spans="1:24" ht="30" customHeight="1">
      <c r="A3241" s="652"/>
      <c r="B3241" s="1179"/>
      <c r="C3241" s="1180"/>
      <c r="D3241" s="1181"/>
      <c r="E3241" s="153"/>
      <c r="F3241" s="521"/>
      <c r="G3241" s="363"/>
      <c r="H3241" s="267"/>
      <c r="I3241" s="20"/>
      <c r="J3241" s="20" t="s">
        <v>289</v>
      </c>
      <c r="K3241" s="23">
        <f>+K3238*K3239/K3240</f>
        <v>28.060280373831777</v>
      </c>
      <c r="L3241" s="20" t="s">
        <v>8</v>
      </c>
      <c r="M3241" s="1146"/>
      <c r="N3241" s="282"/>
      <c r="O3241" s="34"/>
      <c r="P3241" s="283"/>
      <c r="Q3241" s="282"/>
      <c r="R3241" s="284"/>
    </row>
    <row r="3242" spans="1:24" ht="30" customHeight="1" thickBot="1">
      <c r="A3242" s="45"/>
      <c r="B3242" s="20"/>
      <c r="C3242" s="18"/>
      <c r="D3242" s="18"/>
      <c r="E3242" s="18"/>
      <c r="F3242" s="18"/>
      <c r="G3242" s="160" t="s">
        <v>312</v>
      </c>
      <c r="H3242" s="18"/>
      <c r="I3242" s="18"/>
      <c r="J3242" s="139">
        <f>VLOOKUP(B3236,'Mil Cost Premiums for RUCs'!$A$4:$R$266,18,FALSE)</f>
        <v>1.0590296311349996</v>
      </c>
      <c r="K3242" s="23">
        <f>+K3241*J3242</f>
        <v>29.716668373843735</v>
      </c>
      <c r="L3242" s="20" t="s">
        <v>8</v>
      </c>
      <c r="M3242" s="1146"/>
      <c r="N3242" s="1103"/>
      <c r="O3242" s="34"/>
      <c r="P3242" s="283"/>
      <c r="Q3242" s="282"/>
      <c r="R3242" s="284"/>
    </row>
    <row r="3243" spans="1:24" ht="30" customHeight="1" thickBot="1">
      <c r="A3243" s="1165"/>
      <c r="B3243" s="1166"/>
      <c r="C3243" s="1166"/>
      <c r="D3243" s="1166"/>
      <c r="E3243" s="1166"/>
      <c r="F3243" s="1166"/>
      <c r="G3243" s="1166"/>
      <c r="H3243" s="1166"/>
      <c r="I3243" s="1166"/>
      <c r="J3243" s="1166"/>
      <c r="K3243" s="1166"/>
      <c r="L3243" s="1167"/>
      <c r="M3243" s="1146"/>
      <c r="N3243" s="1103"/>
      <c r="O3243"/>
      <c r="P3243" s="159"/>
      <c r="Q3243" s="147"/>
      <c r="R3243" s="149"/>
    </row>
    <row r="3244" spans="1:24" ht="30" customHeight="1">
      <c r="A3244" s="27" t="s">
        <v>280</v>
      </c>
      <c r="B3244" s="82">
        <v>7444</v>
      </c>
      <c r="C3244" s="1197" t="s">
        <v>1775</v>
      </c>
      <c r="D3244" s="1198"/>
      <c r="E3244" s="74" t="s">
        <v>282</v>
      </c>
      <c r="F3244" s="75" t="s">
        <v>8</v>
      </c>
      <c r="G3244" s="58" t="s">
        <v>290</v>
      </c>
      <c r="H3244" s="76">
        <v>2380</v>
      </c>
      <c r="I3244" s="74" t="s">
        <v>283</v>
      </c>
      <c r="J3244" s="1199" t="s">
        <v>2529</v>
      </c>
      <c r="K3244" s="1199"/>
      <c r="L3244" s="1200"/>
      <c r="M3244" s="1146"/>
      <c r="N3244" s="1103"/>
      <c r="O3244"/>
      <c r="P3244" s="159"/>
      <c r="Q3244" s="147"/>
      <c r="R3244" s="149"/>
    </row>
    <row r="3245" spans="1:24" ht="30" customHeight="1">
      <c r="A3245" s="37" t="s">
        <v>304</v>
      </c>
      <c r="B3245" s="1201" t="s">
        <v>330</v>
      </c>
      <c r="C3245" s="1202"/>
      <c r="D3245" s="1203"/>
      <c r="E3245" s="150" t="s">
        <v>295</v>
      </c>
      <c r="F3245" s="150" t="s">
        <v>331</v>
      </c>
      <c r="G3245" s="1204" t="s">
        <v>332</v>
      </c>
      <c r="H3245" s="1205"/>
      <c r="I3245" s="77" t="s">
        <v>305</v>
      </c>
      <c r="J3245" s="77"/>
      <c r="K3245" s="1206" t="s">
        <v>297</v>
      </c>
      <c r="L3245" s="1207"/>
      <c r="M3245" s="1146"/>
      <c r="N3245" s="1103"/>
      <c r="O3245"/>
      <c r="P3245" s="159"/>
      <c r="Q3245" s="147"/>
      <c r="R3245" s="149"/>
    </row>
    <row r="3246" spans="1:24" ht="30" customHeight="1">
      <c r="A3246" s="652" t="s">
        <v>1776</v>
      </c>
      <c r="B3246" s="1267" t="s">
        <v>1777</v>
      </c>
      <c r="C3246" s="1267"/>
      <c r="D3246" s="1267"/>
      <c r="E3246" s="153">
        <v>34</v>
      </c>
      <c r="F3246" s="20" t="s">
        <v>8</v>
      </c>
      <c r="G3246" s="20"/>
      <c r="H3246" s="20"/>
      <c r="I3246" s="326">
        <v>1.1000000000000001</v>
      </c>
      <c r="J3246" s="20"/>
      <c r="K3246" s="153">
        <f>+E3246*I3246</f>
        <v>37.400000000000006</v>
      </c>
      <c r="L3246" s="20" t="s">
        <v>8</v>
      </c>
      <c r="M3246" s="1146"/>
      <c r="N3246" s="1103"/>
      <c r="O3246"/>
      <c r="P3246" s="159"/>
      <c r="Q3246" s="147"/>
      <c r="R3246" s="149"/>
      <c r="T3246" s="38"/>
      <c r="U3246" s="38"/>
      <c r="V3246" s="38"/>
      <c r="W3246" s="38"/>
      <c r="X3246" s="38"/>
    </row>
    <row r="3247" spans="1:24" s="38" customFormat="1" ht="30" customHeight="1">
      <c r="A3247" s="45"/>
      <c r="B3247" s="157"/>
      <c r="C3247" s="157"/>
      <c r="D3247" s="157"/>
      <c r="E3247" s="153"/>
      <c r="F3247" s="1174" t="s">
        <v>308</v>
      </c>
      <c r="G3247" s="1208" t="s">
        <v>309</v>
      </c>
      <c r="H3247" s="1208"/>
      <c r="I3247" s="1208"/>
      <c r="J3247" s="1208"/>
      <c r="K3247" s="123">
        <v>1.06</v>
      </c>
      <c r="L3247" s="10"/>
      <c r="M3247" s="1146"/>
      <c r="N3247" s="1103"/>
      <c r="P3247" s="159"/>
      <c r="Q3247" s="147"/>
      <c r="R3247" s="149"/>
      <c r="T3247"/>
      <c r="U3247"/>
      <c r="V3247"/>
      <c r="W3247"/>
      <c r="X3247"/>
    </row>
    <row r="3248" spans="1:24" ht="30" customHeight="1">
      <c r="A3248" s="45"/>
      <c r="B3248" s="157"/>
      <c r="C3248" s="157"/>
      <c r="D3248" s="157"/>
      <c r="E3248" s="153"/>
      <c r="F3248" s="1175"/>
      <c r="G3248" s="1209" t="s">
        <v>310</v>
      </c>
      <c r="H3248" s="1209"/>
      <c r="I3248" s="1209"/>
      <c r="J3248" s="1209"/>
      <c r="K3248" s="123">
        <v>1.07</v>
      </c>
      <c r="L3248" s="10"/>
      <c r="M3248" s="1146"/>
      <c r="N3248" s="1103"/>
      <c r="O3248"/>
      <c r="P3248" s="159"/>
      <c r="Q3248" s="147"/>
      <c r="R3248" s="149"/>
    </row>
    <row r="3249" spans="1:24" ht="30" customHeight="1">
      <c r="A3249" s="45"/>
      <c r="B3249" s="20"/>
      <c r="C3249" s="18"/>
      <c r="D3249" s="18"/>
      <c r="E3249" s="18"/>
      <c r="F3249" s="18"/>
      <c r="G3249" s="18"/>
      <c r="H3249" s="18"/>
      <c r="I3249" s="18"/>
      <c r="J3249" s="20" t="s">
        <v>289</v>
      </c>
      <c r="K3249" s="23">
        <f>+K3246*K3247/K3248</f>
        <v>37.050467289719627</v>
      </c>
      <c r="L3249" s="20" t="s">
        <v>8</v>
      </c>
      <c r="M3249" s="1146"/>
      <c r="N3249" s="1103"/>
      <c r="O3249"/>
      <c r="P3249" s="159"/>
      <c r="Q3249" s="147"/>
      <c r="R3249" s="149"/>
    </row>
    <row r="3250" spans="1:24" ht="30" customHeight="1" thickBot="1">
      <c r="A3250" s="45"/>
      <c r="B3250" s="20"/>
      <c r="C3250" s="18"/>
      <c r="D3250" s="18"/>
      <c r="E3250" s="18"/>
      <c r="F3250" s="18"/>
      <c r="G3250" s="160" t="s">
        <v>312</v>
      </c>
      <c r="H3250" s="18"/>
      <c r="I3250" s="18"/>
      <c r="J3250" s="139">
        <f>VLOOKUP(B3244,'Mil Cost Premiums for RUCs'!$A$4:$R$266,18,FALSE)</f>
        <v>1.0209999999999999</v>
      </c>
      <c r="K3250" s="23">
        <f>+K3249*J3250</f>
        <v>37.828527102803733</v>
      </c>
      <c r="L3250" s="20" t="s">
        <v>8</v>
      </c>
      <c r="M3250" s="1146"/>
      <c r="N3250" s="282"/>
      <c r="O3250"/>
      <c r="P3250" s="159"/>
      <c r="Q3250" s="147"/>
      <c r="R3250" s="149"/>
    </row>
    <row r="3251" spans="1:24" ht="30" customHeight="1" thickBot="1">
      <c r="A3251" s="1165"/>
      <c r="B3251" s="1166"/>
      <c r="C3251" s="1166"/>
      <c r="D3251" s="1166"/>
      <c r="E3251" s="1166"/>
      <c r="F3251" s="1166"/>
      <c r="G3251" s="1166"/>
      <c r="H3251" s="1166"/>
      <c r="I3251" s="1166"/>
      <c r="J3251" s="1166"/>
      <c r="K3251" s="1166"/>
      <c r="L3251" s="1167"/>
      <c r="M3251" s="1146"/>
      <c r="N3251" s="282"/>
      <c r="O3251"/>
      <c r="P3251" s="159"/>
      <c r="Q3251" s="147"/>
      <c r="R3251" s="149"/>
    </row>
    <row r="3252" spans="1:24" ht="30" customHeight="1">
      <c r="A3252" s="81" t="s">
        <v>280</v>
      </c>
      <c r="B3252" s="82">
        <v>7445</v>
      </c>
      <c r="C3252" s="1197" t="s">
        <v>1778</v>
      </c>
      <c r="D3252" s="1198"/>
      <c r="E3252" s="74" t="s">
        <v>282</v>
      </c>
      <c r="F3252" s="75" t="s">
        <v>8</v>
      </c>
      <c r="G3252" s="58" t="s">
        <v>290</v>
      </c>
      <c r="H3252" s="701">
        <v>2749</v>
      </c>
      <c r="I3252" s="74" t="s">
        <v>283</v>
      </c>
      <c r="J3252" s="1199" t="s">
        <v>2529</v>
      </c>
      <c r="K3252" s="1199"/>
      <c r="L3252" s="1200"/>
      <c r="M3252" s="1146"/>
      <c r="N3252" s="1103"/>
      <c r="O3252"/>
      <c r="P3252" s="159"/>
      <c r="Q3252" s="147"/>
      <c r="R3252" s="149"/>
    </row>
    <row r="3253" spans="1:24" ht="30" customHeight="1">
      <c r="A3253" s="79" t="s">
        <v>304</v>
      </c>
      <c r="B3253" s="1201" t="s">
        <v>330</v>
      </c>
      <c r="C3253" s="1202"/>
      <c r="D3253" s="1203"/>
      <c r="E3253" s="150" t="s">
        <v>295</v>
      </c>
      <c r="F3253" s="150" t="s">
        <v>331</v>
      </c>
      <c r="G3253" s="1204" t="s">
        <v>332</v>
      </c>
      <c r="H3253" s="1205"/>
      <c r="I3253" s="77" t="s">
        <v>305</v>
      </c>
      <c r="J3253" s="77"/>
      <c r="K3253" s="1206" t="s">
        <v>297</v>
      </c>
      <c r="L3253" s="1207"/>
      <c r="M3253" s="1146"/>
      <c r="N3253" s="1103"/>
      <c r="O3253" s="34"/>
      <c r="P3253" s="283"/>
      <c r="Q3253" s="282"/>
      <c r="R3253" s="284"/>
    </row>
    <row r="3254" spans="1:24" ht="30" customHeight="1">
      <c r="A3254" s="351" t="s">
        <v>534</v>
      </c>
      <c r="B3254" s="1179" t="s">
        <v>2769</v>
      </c>
      <c r="C3254" s="1180"/>
      <c r="D3254" s="1181"/>
      <c r="E3254" s="153">
        <v>29.75</v>
      </c>
      <c r="F3254" s="22" t="s">
        <v>8</v>
      </c>
      <c r="G3254" s="702"/>
      <c r="H3254" s="703"/>
      <c r="I3254" s="326">
        <v>1.1000000000000001</v>
      </c>
      <c r="J3254" s="20"/>
      <c r="K3254" s="153">
        <f>+E3254*I3254</f>
        <v>32.725000000000001</v>
      </c>
      <c r="L3254" s="20" t="s">
        <v>8</v>
      </c>
      <c r="M3254" s="1146"/>
      <c r="N3254" s="1103"/>
      <c r="O3254" s="34"/>
      <c r="P3254" s="283"/>
      <c r="Q3254" s="282"/>
      <c r="R3254" s="284"/>
    </row>
    <row r="3255" spans="1:24" ht="30" customHeight="1">
      <c r="A3255" s="20"/>
      <c r="B3255" s="157"/>
      <c r="C3255" s="157"/>
      <c r="D3255" s="157"/>
      <c r="E3255" s="153"/>
      <c r="F3255" s="1174" t="s">
        <v>308</v>
      </c>
      <c r="G3255" s="1208" t="s">
        <v>309</v>
      </c>
      <c r="H3255" s="1208"/>
      <c r="I3255" s="1208"/>
      <c r="J3255" s="1208"/>
      <c r="K3255" s="123">
        <v>1.06</v>
      </c>
      <c r="L3255" s="10"/>
      <c r="M3255" s="1146"/>
      <c r="N3255" s="1103"/>
      <c r="O3255"/>
      <c r="P3255" s="159"/>
      <c r="Q3255" s="147"/>
      <c r="R3255" s="149"/>
    </row>
    <row r="3256" spans="1:24" ht="30" customHeight="1">
      <c r="A3256" s="20"/>
      <c r="B3256" s="157"/>
      <c r="C3256" s="157"/>
      <c r="D3256" s="157"/>
      <c r="E3256" s="153"/>
      <c r="F3256" s="1175"/>
      <c r="G3256" s="1209" t="s">
        <v>310</v>
      </c>
      <c r="H3256" s="1209"/>
      <c r="I3256" s="1209"/>
      <c r="J3256" s="1209"/>
      <c r="K3256" s="123">
        <v>1.07</v>
      </c>
      <c r="L3256" s="10"/>
      <c r="M3256" s="1146"/>
      <c r="N3256" s="1103"/>
      <c r="O3256"/>
      <c r="P3256" s="159"/>
      <c r="Q3256" s="147"/>
      <c r="R3256" s="149"/>
    </row>
    <row r="3257" spans="1:24" ht="30" customHeight="1">
      <c r="A3257" s="20"/>
      <c r="B3257" s="20"/>
      <c r="C3257" s="18"/>
      <c r="D3257" s="18"/>
      <c r="E3257" s="18"/>
      <c r="F3257" s="18"/>
      <c r="G3257" s="18"/>
      <c r="H3257" s="18"/>
      <c r="I3257" s="18"/>
      <c r="J3257" s="20" t="s">
        <v>289</v>
      </c>
      <c r="K3257" s="23">
        <f>+K3254*K3255/K3256</f>
        <v>32.419158878504675</v>
      </c>
      <c r="L3257" s="20" t="s">
        <v>8</v>
      </c>
      <c r="M3257" s="1146"/>
      <c r="N3257" s="1103"/>
      <c r="O3257"/>
      <c r="P3257" s="159"/>
      <c r="Q3257" s="147"/>
      <c r="R3257" s="149"/>
    </row>
    <row r="3258" spans="1:24" ht="30" customHeight="1" thickBot="1">
      <c r="A3258" s="20"/>
      <c r="B3258" s="20"/>
      <c r="C3258" s="18"/>
      <c r="D3258" s="18"/>
      <c r="E3258" s="18"/>
      <c r="F3258" s="18"/>
      <c r="G3258" s="160" t="s">
        <v>312</v>
      </c>
      <c r="H3258" s="18"/>
      <c r="I3258" s="18"/>
      <c r="J3258" s="139">
        <f>VLOOKUP(B3252,'Mil Cost Premiums for RUCs'!$A$4:$R$266,18,FALSE)</f>
        <v>1.0209999999999999</v>
      </c>
      <c r="K3258" s="23">
        <f>+K3257*J3258</f>
        <v>33.099961214953268</v>
      </c>
      <c r="L3258" s="20" t="s">
        <v>8</v>
      </c>
      <c r="M3258" s="1146"/>
      <c r="N3258" s="1103"/>
      <c r="O3258"/>
      <c r="P3258" s="159"/>
      <c r="Q3258" s="147"/>
      <c r="R3258" s="149"/>
      <c r="T3258" s="38"/>
      <c r="U3258" s="38"/>
      <c r="V3258" s="38"/>
      <c r="W3258" s="38"/>
      <c r="X3258" s="38"/>
    </row>
    <row r="3259" spans="1:24" s="38" customFormat="1" ht="30" customHeight="1" thickBot="1">
      <c r="A3259" s="1165"/>
      <c r="B3259" s="1166"/>
      <c r="C3259" s="1166"/>
      <c r="D3259" s="1166"/>
      <c r="E3259" s="1166"/>
      <c r="F3259" s="1166"/>
      <c r="G3259" s="1166"/>
      <c r="H3259" s="1166"/>
      <c r="I3259" s="1166"/>
      <c r="J3259" s="1166"/>
      <c r="K3259" s="1166"/>
      <c r="L3259" s="1167"/>
      <c r="M3259" s="1146"/>
      <c r="N3259" s="1103"/>
      <c r="P3259" s="159"/>
      <c r="Q3259" s="147"/>
      <c r="R3259" s="149"/>
      <c r="T3259"/>
      <c r="U3259"/>
      <c r="V3259"/>
      <c r="W3259"/>
      <c r="X3259"/>
    </row>
    <row r="3260" spans="1:24" ht="30" customHeight="1">
      <c r="A3260" s="27" t="s">
        <v>280</v>
      </c>
      <c r="B3260" s="82">
        <v>7446</v>
      </c>
      <c r="C3260" s="1197" t="s">
        <v>1779</v>
      </c>
      <c r="D3260" s="1198"/>
      <c r="E3260" s="74" t="s">
        <v>282</v>
      </c>
      <c r="F3260" s="75" t="s">
        <v>8</v>
      </c>
      <c r="G3260" s="58" t="s">
        <v>290</v>
      </c>
      <c r="H3260" s="705">
        <v>3655</v>
      </c>
      <c r="I3260" s="74" t="s">
        <v>283</v>
      </c>
      <c r="J3260" s="1199" t="s">
        <v>2529</v>
      </c>
      <c r="K3260" s="1199"/>
      <c r="L3260" s="1200"/>
      <c r="M3260" s="1146"/>
      <c r="N3260" s="1103"/>
      <c r="O3260"/>
      <c r="P3260" s="159"/>
      <c r="Q3260" s="147"/>
      <c r="R3260" s="149"/>
    </row>
    <row r="3261" spans="1:24" ht="30" customHeight="1">
      <c r="A3261" s="37" t="s">
        <v>304</v>
      </c>
      <c r="B3261" s="1201" t="s">
        <v>330</v>
      </c>
      <c r="C3261" s="1202"/>
      <c r="D3261" s="1203"/>
      <c r="E3261" s="150" t="s">
        <v>295</v>
      </c>
      <c r="F3261" s="150" t="s">
        <v>331</v>
      </c>
      <c r="G3261" s="1204" t="s">
        <v>332</v>
      </c>
      <c r="H3261" s="1205"/>
      <c r="I3261" s="77" t="s">
        <v>305</v>
      </c>
      <c r="J3261" s="77"/>
      <c r="K3261" s="1206" t="s">
        <v>297</v>
      </c>
      <c r="L3261" s="1207"/>
      <c r="M3261" s="1146"/>
      <c r="N3261" s="1103"/>
      <c r="O3261"/>
      <c r="P3261" s="159"/>
      <c r="Q3261" s="147"/>
      <c r="R3261" s="149"/>
    </row>
    <row r="3262" spans="1:24" ht="30" customHeight="1">
      <c r="A3262" s="652" t="s">
        <v>1707</v>
      </c>
      <c r="B3262" s="1179" t="s">
        <v>1708</v>
      </c>
      <c r="C3262" s="1180"/>
      <c r="D3262" s="1181"/>
      <c r="E3262" s="153">
        <v>117.9</v>
      </c>
      <c r="F3262" s="22" t="s">
        <v>8</v>
      </c>
      <c r="G3262" s="18"/>
      <c r="H3262" s="18"/>
      <c r="I3262" s="20">
        <v>1.07</v>
      </c>
      <c r="J3262" s="20"/>
      <c r="K3262" s="153">
        <f>+E3262*I3262</f>
        <v>126.15300000000002</v>
      </c>
      <c r="L3262" s="20" t="s">
        <v>8</v>
      </c>
      <c r="M3262" s="1146"/>
      <c r="N3262" s="282"/>
      <c r="O3262"/>
      <c r="P3262" s="159"/>
      <c r="Q3262" s="147"/>
      <c r="R3262" s="149"/>
    </row>
    <row r="3263" spans="1:24" ht="30" customHeight="1">
      <c r="A3263" s="652" t="s">
        <v>418</v>
      </c>
      <c r="B3263" s="1267" t="s">
        <v>2770</v>
      </c>
      <c r="C3263" s="1267"/>
      <c r="D3263" s="1267"/>
      <c r="E3263" s="153">
        <v>4.1399999999999997</v>
      </c>
      <c r="F3263" s="22" t="s">
        <v>8</v>
      </c>
      <c r="G3263" s="18"/>
      <c r="H3263" s="18"/>
      <c r="I3263" s="20">
        <v>1.07</v>
      </c>
      <c r="J3263" s="20"/>
      <c r="K3263" s="153">
        <f>+E3263*I3263</f>
        <v>4.4298000000000002</v>
      </c>
      <c r="L3263" s="20" t="s">
        <v>8</v>
      </c>
      <c r="M3263" s="1146"/>
      <c r="N3263" s="282"/>
      <c r="O3263" s="34"/>
      <c r="P3263" s="283"/>
      <c r="Q3263" s="282"/>
      <c r="R3263" s="284"/>
    </row>
    <row r="3264" spans="1:24" ht="30" customHeight="1">
      <c r="A3264" s="690"/>
      <c r="B3264" s="1638"/>
      <c r="C3264" s="1639"/>
      <c r="D3264" s="1640"/>
      <c r="E3264" s="686"/>
      <c r="F3264" s="690"/>
      <c r="G3264" s="690"/>
      <c r="H3264" s="690"/>
      <c r="I3264" s="690"/>
      <c r="J3264" s="690" t="s">
        <v>346</v>
      </c>
      <c r="K3264" s="686">
        <f>SUM(K3262:K3263)</f>
        <v>130.58280000000002</v>
      </c>
      <c r="L3264" s="690" t="s">
        <v>8</v>
      </c>
      <c r="M3264" s="1146"/>
      <c r="N3264" s="1103"/>
      <c r="O3264" s="34"/>
      <c r="P3264" s="283"/>
      <c r="Q3264" s="282"/>
      <c r="R3264" s="284"/>
    </row>
    <row r="3265" spans="1:24" ht="30" customHeight="1">
      <c r="A3265" s="45"/>
      <c r="B3265" s="157"/>
      <c r="C3265" s="157"/>
      <c r="D3265" s="157"/>
      <c r="E3265" s="153"/>
      <c r="F3265" s="1174" t="s">
        <v>308</v>
      </c>
      <c r="G3265" s="1208" t="s">
        <v>309</v>
      </c>
      <c r="H3265" s="1208"/>
      <c r="I3265" s="1208"/>
      <c r="J3265" s="1208"/>
      <c r="K3265" s="123">
        <v>1.06</v>
      </c>
      <c r="L3265" s="10"/>
      <c r="M3265" s="1146"/>
      <c r="N3265" s="1103"/>
      <c r="O3265"/>
      <c r="P3265" s="159"/>
      <c r="Q3265" s="147"/>
      <c r="R3265" s="149"/>
    </row>
    <row r="3266" spans="1:24" ht="30" customHeight="1">
      <c r="A3266" s="45"/>
      <c r="B3266" s="157"/>
      <c r="C3266" s="157"/>
      <c r="D3266" s="157"/>
      <c r="E3266" s="153"/>
      <c r="F3266" s="1175"/>
      <c r="G3266" s="1209" t="s">
        <v>310</v>
      </c>
      <c r="H3266" s="1209"/>
      <c r="I3266" s="1209"/>
      <c r="J3266" s="1209"/>
      <c r="K3266" s="123">
        <v>1.07</v>
      </c>
      <c r="L3266" s="10"/>
      <c r="M3266" s="1146"/>
      <c r="N3266" s="1103"/>
      <c r="O3266"/>
      <c r="P3266" s="159"/>
      <c r="Q3266" s="147"/>
      <c r="R3266" s="149"/>
    </row>
    <row r="3267" spans="1:24" ht="30" customHeight="1">
      <c r="A3267" s="45"/>
      <c r="B3267" s="20"/>
      <c r="C3267" s="18"/>
      <c r="D3267" s="18"/>
      <c r="E3267" s="18"/>
      <c r="F3267" s="18"/>
      <c r="G3267" s="18"/>
      <c r="H3267" s="18"/>
      <c r="I3267" s="18"/>
      <c r="J3267" s="20" t="s">
        <v>289</v>
      </c>
      <c r="K3267" s="23">
        <f>+K3264*K3265/K3266</f>
        <v>129.36240000000001</v>
      </c>
      <c r="L3267" s="20" t="s">
        <v>8</v>
      </c>
      <c r="M3267" s="1146"/>
      <c r="N3267" s="1103"/>
      <c r="O3267"/>
      <c r="P3267" s="159"/>
      <c r="Q3267" s="147"/>
      <c r="R3267" s="149"/>
    </row>
    <row r="3268" spans="1:24" ht="30" customHeight="1" thickBot="1">
      <c r="A3268" s="45"/>
      <c r="B3268" s="20"/>
      <c r="C3268" s="18"/>
      <c r="D3268" s="18"/>
      <c r="E3268" s="18"/>
      <c r="F3268" s="18"/>
      <c r="G3268" s="160" t="s">
        <v>312</v>
      </c>
      <c r="H3268" s="18"/>
      <c r="I3268" s="18"/>
      <c r="J3268" s="139">
        <f>VLOOKUP(B3260,'Mil Cost Premiums for RUCs'!$A$4:$R$266,18,FALSE)</f>
        <v>1.0209999999999999</v>
      </c>
      <c r="K3268" s="23">
        <f>+K3267*J3268</f>
        <v>132.07901039999999</v>
      </c>
      <c r="L3268" s="20" t="s">
        <v>8</v>
      </c>
      <c r="M3268" s="1146"/>
      <c r="N3268" s="1103"/>
      <c r="O3268"/>
      <c r="P3268" s="159"/>
      <c r="Q3268" s="147"/>
      <c r="R3268" s="149"/>
      <c r="T3268" s="38"/>
      <c r="U3268" s="38"/>
      <c r="V3268" s="38"/>
      <c r="W3268" s="38"/>
      <c r="X3268" s="38"/>
    </row>
    <row r="3269" spans="1:24" s="38" customFormat="1" ht="30" customHeight="1" thickBot="1">
      <c r="A3269" s="1165"/>
      <c r="B3269" s="1166"/>
      <c r="C3269" s="1166"/>
      <c r="D3269" s="1166"/>
      <c r="E3269" s="1166"/>
      <c r="F3269" s="1166"/>
      <c r="G3269" s="1166"/>
      <c r="H3269" s="1166"/>
      <c r="I3269" s="1166"/>
      <c r="J3269" s="1166"/>
      <c r="K3269" s="1166"/>
      <c r="L3269" s="1167"/>
      <c r="M3269" s="1146"/>
      <c r="N3269" s="1103"/>
      <c r="P3269" s="159"/>
      <c r="Q3269" s="147"/>
      <c r="R3269" s="149"/>
      <c r="T3269"/>
      <c r="U3269"/>
      <c r="V3269"/>
      <c r="W3269"/>
      <c r="X3269"/>
    </row>
    <row r="3270" spans="1:24" ht="30" customHeight="1">
      <c r="A3270" s="81" t="s">
        <v>280</v>
      </c>
      <c r="B3270" s="82">
        <v>7447</v>
      </c>
      <c r="C3270" s="1228" t="s">
        <v>1780</v>
      </c>
      <c r="D3270" s="1229"/>
      <c r="E3270" s="74" t="s">
        <v>282</v>
      </c>
      <c r="F3270" s="75" t="s">
        <v>8</v>
      </c>
      <c r="G3270" s="58" t="s">
        <v>290</v>
      </c>
      <c r="H3270" s="104">
        <v>3151</v>
      </c>
      <c r="I3270" s="74" t="s">
        <v>283</v>
      </c>
      <c r="J3270" s="1199" t="s">
        <v>2569</v>
      </c>
      <c r="K3270" s="1230"/>
      <c r="L3270" s="1231"/>
      <c r="M3270" s="1146"/>
      <c r="N3270" s="1103"/>
      <c r="O3270"/>
      <c r="P3270" s="159"/>
      <c r="Q3270" s="147"/>
      <c r="R3270" s="149"/>
    </row>
    <row r="3271" spans="1:24" ht="30" customHeight="1">
      <c r="A3271" s="77" t="s">
        <v>293</v>
      </c>
      <c r="B3271" s="1232" t="s">
        <v>284</v>
      </c>
      <c r="C3271" s="1232"/>
      <c r="D3271" s="1232"/>
      <c r="E3271" s="77" t="s">
        <v>295</v>
      </c>
      <c r="F3271" s="77" t="s">
        <v>294</v>
      </c>
      <c r="G3271" s="1657" t="s">
        <v>332</v>
      </c>
      <c r="H3271" s="1657"/>
      <c r="I3271" s="1233" t="s">
        <v>426</v>
      </c>
      <c r="J3271" s="1234"/>
      <c r="K3271" s="1303" t="s">
        <v>297</v>
      </c>
      <c r="L3271" s="1304"/>
      <c r="M3271" s="1146"/>
      <c r="N3271" s="1103"/>
      <c r="O3271"/>
      <c r="P3271" s="159"/>
      <c r="Q3271" s="147"/>
      <c r="R3271" s="149"/>
    </row>
    <row r="3272" spans="1:24" ht="30" customHeight="1">
      <c r="A3272" s="20">
        <v>44220</v>
      </c>
      <c r="B3272" s="1179" t="s">
        <v>1781</v>
      </c>
      <c r="C3272" s="1180"/>
      <c r="D3272" s="1181"/>
      <c r="E3272" s="153">
        <v>136</v>
      </c>
      <c r="F3272" s="316">
        <v>3470</v>
      </c>
      <c r="G3272" s="286"/>
      <c r="H3272" s="286"/>
      <c r="I3272" s="1546">
        <f>+'2019 MILCON Inflation Table'!F18</f>
        <v>0.94232233454704462</v>
      </c>
      <c r="J3272" s="1547"/>
      <c r="K3272" s="106">
        <f>+E3272*I3272</f>
        <v>128.15583749839806</v>
      </c>
      <c r="L3272" s="97" t="s">
        <v>8</v>
      </c>
      <c r="M3272" s="1146"/>
      <c r="N3272" s="282"/>
      <c r="O3272"/>
      <c r="P3272" s="159"/>
      <c r="Q3272" s="147"/>
      <c r="R3272" s="149"/>
    </row>
    <row r="3273" spans="1:24" ht="30" customHeight="1">
      <c r="A3273" s="20">
        <v>44220</v>
      </c>
      <c r="B3273" s="1176" t="s">
        <v>1782</v>
      </c>
      <c r="C3273" s="1177"/>
      <c r="D3273" s="1178"/>
      <c r="E3273" s="153">
        <v>158</v>
      </c>
      <c r="F3273" s="316">
        <v>4200</v>
      </c>
      <c r="G3273" s="286"/>
      <c r="H3273" s="286"/>
      <c r="I3273" s="1546">
        <f>+'2019 MILCON Inflation Table'!F18</f>
        <v>0.94232233454704462</v>
      </c>
      <c r="J3273" s="1547"/>
      <c r="K3273" s="106">
        <f>+E3273*I3273</f>
        <v>148.88692885843304</v>
      </c>
      <c r="L3273" s="97" t="s">
        <v>8</v>
      </c>
      <c r="M3273" s="1146"/>
      <c r="N3273" s="282"/>
      <c r="O3273" s="34"/>
      <c r="P3273" s="283"/>
      <c r="Q3273" s="282"/>
      <c r="R3273" s="284"/>
    </row>
    <row r="3274" spans="1:24" ht="30" customHeight="1" thickBot="1">
      <c r="A3274" s="20"/>
      <c r="B3274" s="1179"/>
      <c r="C3274" s="1180"/>
      <c r="D3274" s="1181"/>
      <c r="E3274" s="182"/>
      <c r="F3274" s="707"/>
      <c r="G3274" s="182"/>
      <c r="H3274" s="182" t="s">
        <v>311</v>
      </c>
      <c r="I3274" s="18"/>
      <c r="J3274" s="79" t="s">
        <v>289</v>
      </c>
      <c r="K3274" s="107">
        <f>AVERAGE(K3272:K3273)</f>
        <v>138.52138317841553</v>
      </c>
      <c r="L3274" s="97" t="s">
        <v>8</v>
      </c>
      <c r="M3274" s="1146"/>
      <c r="N3274" s="1103"/>
      <c r="O3274" s="34"/>
      <c r="P3274" s="283"/>
      <c r="Q3274" s="282"/>
      <c r="R3274" s="284"/>
    </row>
    <row r="3275" spans="1:24" ht="30" customHeight="1" thickBot="1">
      <c r="A3275" s="1165"/>
      <c r="B3275" s="1166"/>
      <c r="C3275" s="1166"/>
      <c r="D3275" s="1166"/>
      <c r="E3275" s="1166"/>
      <c r="F3275" s="1166"/>
      <c r="G3275" s="1166"/>
      <c r="H3275" s="1166"/>
      <c r="I3275" s="1166"/>
      <c r="J3275" s="1166"/>
      <c r="K3275" s="1166"/>
      <c r="L3275" s="1167"/>
      <c r="M3275" s="1146"/>
      <c r="N3275" s="1103"/>
      <c r="O3275"/>
      <c r="P3275" s="159"/>
      <c r="Q3275" s="147"/>
      <c r="R3275" s="149"/>
    </row>
    <row r="3276" spans="1:24" ht="30" customHeight="1">
      <c r="A3276" s="677" t="s">
        <v>280</v>
      </c>
      <c r="B3276" s="678">
        <v>7448</v>
      </c>
      <c r="C3276" s="1659" t="s">
        <v>1783</v>
      </c>
      <c r="D3276" s="1660"/>
      <c r="E3276" s="679" t="s">
        <v>282</v>
      </c>
      <c r="F3276" s="697" t="s">
        <v>8</v>
      </c>
      <c r="G3276" s="58" t="s">
        <v>290</v>
      </c>
      <c r="H3276" s="681">
        <v>1318</v>
      </c>
      <c r="I3276" s="679" t="s">
        <v>283</v>
      </c>
      <c r="J3276" s="1199" t="s">
        <v>2529</v>
      </c>
      <c r="K3276" s="1199"/>
      <c r="L3276" s="1200"/>
      <c r="M3276" s="1146"/>
      <c r="N3276" s="1103"/>
      <c r="O3276"/>
      <c r="P3276" s="159"/>
      <c r="Q3276" s="147"/>
      <c r="R3276" s="149"/>
    </row>
    <row r="3277" spans="1:24" ht="30" customHeight="1">
      <c r="A3277" s="682" t="s">
        <v>304</v>
      </c>
      <c r="B3277" s="1641" t="s">
        <v>330</v>
      </c>
      <c r="C3277" s="1642"/>
      <c r="D3277" s="1643"/>
      <c r="E3277" s="683" t="s">
        <v>295</v>
      </c>
      <c r="F3277" s="683" t="s">
        <v>331</v>
      </c>
      <c r="G3277" s="1644" t="s">
        <v>332</v>
      </c>
      <c r="H3277" s="1645"/>
      <c r="I3277" s="684" t="s">
        <v>1679</v>
      </c>
      <c r="J3277" s="684"/>
      <c r="K3277" s="1303" t="s">
        <v>297</v>
      </c>
      <c r="L3277" s="1304"/>
      <c r="M3277" s="1146"/>
      <c r="N3277" s="1103"/>
      <c r="O3277"/>
      <c r="P3277" s="159"/>
      <c r="Q3277" s="147"/>
      <c r="R3277" s="149"/>
    </row>
    <row r="3278" spans="1:24" ht="30" customHeight="1">
      <c r="A3278" s="690" t="s">
        <v>1594</v>
      </c>
      <c r="B3278" s="1646" t="s">
        <v>1784</v>
      </c>
      <c r="C3278" s="1647"/>
      <c r="D3278" s="1648"/>
      <c r="E3278" s="708">
        <v>61.5</v>
      </c>
      <c r="F3278" s="687" t="s">
        <v>8</v>
      </c>
      <c r="G3278" s="709"/>
      <c r="H3278" s="689"/>
      <c r="I3278" s="690">
        <v>1.05</v>
      </c>
      <c r="J3278" s="687"/>
      <c r="K3278" s="694">
        <f>+E3278*I3278</f>
        <v>64.575000000000003</v>
      </c>
      <c r="L3278" s="687" t="s">
        <v>8</v>
      </c>
      <c r="M3278" s="1146"/>
      <c r="N3278" s="1103"/>
      <c r="O3278"/>
      <c r="P3278" s="159"/>
      <c r="Q3278" s="147"/>
      <c r="R3278" s="149"/>
      <c r="T3278" s="38"/>
      <c r="U3278" s="38"/>
      <c r="V3278" s="38"/>
      <c r="W3278" s="38"/>
      <c r="X3278" s="38"/>
    </row>
    <row r="3279" spans="1:24" s="38" customFormat="1" ht="30" customHeight="1">
      <c r="A3279" s="685" t="s">
        <v>377</v>
      </c>
      <c r="B3279" s="1638" t="s">
        <v>2516</v>
      </c>
      <c r="C3279" s="1639"/>
      <c r="D3279" s="1640"/>
      <c r="E3279" s="686">
        <v>3.8</v>
      </c>
      <c r="F3279" s="687" t="s">
        <v>8</v>
      </c>
      <c r="G3279" s="710">
        <v>1.1499999999999999</v>
      </c>
      <c r="H3279" s="711" t="s">
        <v>1785</v>
      </c>
      <c r="I3279" s="690">
        <v>1.05</v>
      </c>
      <c r="J3279" s="687"/>
      <c r="K3279" s="694">
        <f>+E3279*G3279*I3279</f>
        <v>4.5884999999999998</v>
      </c>
      <c r="L3279" s="690"/>
      <c r="M3279" s="1146"/>
      <c r="N3279" s="1103"/>
      <c r="P3279" s="159"/>
      <c r="Q3279" s="147"/>
      <c r="R3279" s="149"/>
      <c r="T3279"/>
      <c r="U3279"/>
      <c r="V3279"/>
      <c r="W3279"/>
      <c r="X3279"/>
    </row>
    <row r="3280" spans="1:24" ht="30" customHeight="1">
      <c r="A3280" s="712"/>
      <c r="B3280" s="693"/>
      <c r="C3280" s="693"/>
      <c r="D3280" s="693"/>
      <c r="E3280" s="686"/>
      <c r="F3280" s="690"/>
      <c r="G3280" s="690"/>
      <c r="H3280" s="690"/>
      <c r="I3280" s="690"/>
      <c r="J3280" s="690" t="s">
        <v>346</v>
      </c>
      <c r="K3280" s="686">
        <f>SUM(K3278:K3279)</f>
        <v>69.163499999999999</v>
      </c>
      <c r="L3280" s="690" t="s">
        <v>8</v>
      </c>
      <c r="M3280" s="1146"/>
      <c r="N3280" s="1103"/>
      <c r="O3280"/>
      <c r="P3280" s="159"/>
      <c r="Q3280" s="147"/>
      <c r="R3280" s="149"/>
    </row>
    <row r="3281" spans="1:18" ht="30" customHeight="1">
      <c r="A3281" s="45"/>
      <c r="B3281" s="157"/>
      <c r="C3281" s="157"/>
      <c r="D3281" s="157"/>
      <c r="E3281" s="153"/>
      <c r="F3281" s="1174" t="s">
        <v>308</v>
      </c>
      <c r="G3281" s="1208" t="s">
        <v>309</v>
      </c>
      <c r="H3281" s="1208"/>
      <c r="I3281" s="1208"/>
      <c r="J3281" s="1208"/>
      <c r="K3281" s="123">
        <v>1.06</v>
      </c>
      <c r="L3281" s="10"/>
      <c r="M3281" s="1146"/>
      <c r="N3281" s="1103"/>
      <c r="O3281"/>
      <c r="P3281" s="159"/>
      <c r="Q3281" s="147"/>
      <c r="R3281" s="149"/>
    </row>
    <row r="3282" spans="1:18" ht="30" customHeight="1">
      <c r="A3282" s="45"/>
      <c r="B3282" s="157"/>
      <c r="C3282" s="157"/>
      <c r="D3282" s="157"/>
      <c r="E3282" s="153"/>
      <c r="F3282" s="1175"/>
      <c r="G3282" s="1209" t="s">
        <v>310</v>
      </c>
      <c r="H3282" s="1209"/>
      <c r="I3282" s="1209"/>
      <c r="J3282" s="1209"/>
      <c r="K3282" s="123">
        <v>1.07</v>
      </c>
      <c r="L3282" s="10"/>
      <c r="M3282" s="1146"/>
      <c r="N3282" s="282"/>
      <c r="O3282"/>
      <c r="P3282" s="159"/>
      <c r="Q3282" s="147"/>
      <c r="R3282" s="149"/>
    </row>
    <row r="3283" spans="1:18" ht="30" customHeight="1">
      <c r="A3283" s="690"/>
      <c r="B3283" s="690"/>
      <c r="C3283" s="693"/>
      <c r="D3283" s="693"/>
      <c r="E3283" s="693"/>
      <c r="F3283" s="693"/>
      <c r="G3283" s="693"/>
      <c r="H3283" s="693"/>
      <c r="I3283" s="693"/>
      <c r="J3283" s="690" t="s">
        <v>289</v>
      </c>
      <c r="K3283" s="694">
        <f>+K3280*K3281/K3282</f>
        <v>68.517112149532707</v>
      </c>
      <c r="L3283" s="690" t="s">
        <v>8</v>
      </c>
      <c r="M3283" s="1146"/>
      <c r="N3283" s="282"/>
      <c r="O3283"/>
      <c r="P3283" s="159"/>
      <c r="Q3283" s="147"/>
      <c r="R3283" s="149"/>
    </row>
    <row r="3284" spans="1:18" ht="30" customHeight="1" thickBot="1">
      <c r="A3284" s="690"/>
      <c r="B3284" s="690"/>
      <c r="C3284" s="693"/>
      <c r="D3284" s="693"/>
      <c r="E3284" s="693"/>
      <c r="F3284" s="693"/>
      <c r="G3284" s="160" t="s">
        <v>312</v>
      </c>
      <c r="H3284" s="693"/>
      <c r="I3284" s="693"/>
      <c r="J3284" s="139">
        <f>VLOOKUP(B3276,'Mil Cost Premiums for RUCs'!$A$4:$R$266,18,FALSE)</f>
        <v>1.1379589900046172</v>
      </c>
      <c r="K3284" s="694">
        <f>+K3283*J3284</f>
        <v>77.96966373971533</v>
      </c>
      <c r="L3284" s="690" t="s">
        <v>8</v>
      </c>
      <c r="M3284" s="1146"/>
      <c r="N3284" s="1103"/>
      <c r="O3284"/>
      <c r="P3284" s="159"/>
      <c r="Q3284" s="147"/>
      <c r="R3284" s="149"/>
    </row>
    <row r="3285" spans="1:18" ht="30" customHeight="1" thickBot="1">
      <c r="A3285" s="1165"/>
      <c r="B3285" s="1166"/>
      <c r="C3285" s="1166"/>
      <c r="D3285" s="1166"/>
      <c r="E3285" s="1166"/>
      <c r="F3285" s="1166"/>
      <c r="G3285" s="1166"/>
      <c r="H3285" s="1166"/>
      <c r="I3285" s="1166"/>
      <c r="J3285" s="1166"/>
      <c r="K3285" s="1166"/>
      <c r="L3285" s="1167"/>
      <c r="M3285" s="1146"/>
      <c r="N3285" s="1103"/>
      <c r="O3285"/>
      <c r="P3285" s="159"/>
      <c r="Q3285" s="147"/>
      <c r="R3285" s="149"/>
    </row>
    <row r="3286" spans="1:18" ht="30" customHeight="1">
      <c r="A3286" s="27" t="s">
        <v>280</v>
      </c>
      <c r="B3286" s="82">
        <v>7449</v>
      </c>
      <c r="C3286" s="1197" t="s">
        <v>1786</v>
      </c>
      <c r="D3286" s="1198"/>
      <c r="E3286" s="74" t="s">
        <v>282</v>
      </c>
      <c r="F3286" s="75" t="s">
        <v>8</v>
      </c>
      <c r="G3286" s="58" t="s">
        <v>290</v>
      </c>
      <c r="H3286" s="215">
        <v>2714</v>
      </c>
      <c r="I3286" s="74" t="s">
        <v>283</v>
      </c>
      <c r="J3286" s="1199" t="s">
        <v>2529</v>
      </c>
      <c r="K3286" s="1199"/>
      <c r="L3286" s="1200"/>
      <c r="M3286" s="1146"/>
      <c r="N3286" s="1103"/>
      <c r="O3286"/>
      <c r="P3286" s="159"/>
      <c r="Q3286" s="147"/>
      <c r="R3286" s="149"/>
    </row>
    <row r="3287" spans="1:18" ht="30" customHeight="1">
      <c r="A3287" s="37" t="s">
        <v>304</v>
      </c>
      <c r="B3287" s="1201" t="s">
        <v>330</v>
      </c>
      <c r="C3287" s="1202"/>
      <c r="D3287" s="1203"/>
      <c r="E3287" s="150" t="s">
        <v>295</v>
      </c>
      <c r="F3287" s="150" t="s">
        <v>331</v>
      </c>
      <c r="G3287" s="1204" t="s">
        <v>332</v>
      </c>
      <c r="H3287" s="1205"/>
      <c r="I3287" s="77" t="s">
        <v>305</v>
      </c>
      <c r="J3287" s="77"/>
      <c r="K3287" s="1303" t="s">
        <v>297</v>
      </c>
      <c r="L3287" s="1304"/>
      <c r="M3287" s="1146"/>
      <c r="N3287" s="1103"/>
      <c r="O3287"/>
      <c r="P3287" s="159"/>
      <c r="Q3287" s="147"/>
      <c r="R3287" s="149"/>
    </row>
    <row r="3288" spans="1:18" ht="30" customHeight="1">
      <c r="A3288" s="629" t="s">
        <v>1787</v>
      </c>
      <c r="B3288" s="1179" t="s">
        <v>1788</v>
      </c>
      <c r="C3288" s="1180"/>
      <c r="D3288" s="1181"/>
      <c r="E3288" s="153">
        <v>123.88</v>
      </c>
      <c r="F3288" s="20" t="s">
        <v>8</v>
      </c>
      <c r="G3288" s="206"/>
      <c r="H3288" s="20"/>
      <c r="I3288" s="20">
        <v>1.07</v>
      </c>
      <c r="J3288" s="20"/>
      <c r="K3288" s="153">
        <f>+E3288*I3288</f>
        <v>132.55160000000001</v>
      </c>
      <c r="L3288" s="20" t="s">
        <v>8</v>
      </c>
      <c r="M3288" s="1146"/>
      <c r="N3288" s="1103"/>
      <c r="O3288"/>
      <c r="P3288" s="159"/>
      <c r="Q3288" s="147"/>
      <c r="R3288" s="149"/>
    </row>
    <row r="3289" spans="1:18" ht="30" customHeight="1">
      <c r="A3289" s="629" t="s">
        <v>418</v>
      </c>
      <c r="B3289" s="1176" t="s">
        <v>1789</v>
      </c>
      <c r="C3289" s="1177"/>
      <c r="D3289" s="1178"/>
      <c r="E3289" s="23">
        <v>4.4800000000000004</v>
      </c>
      <c r="F3289" s="20" t="s">
        <v>8</v>
      </c>
      <c r="G3289" s="515"/>
      <c r="H3289" s="329"/>
      <c r="I3289" s="20">
        <v>1.07</v>
      </c>
      <c r="J3289" s="20"/>
      <c r="K3289" s="153">
        <f>+E3289*I3289</f>
        <v>4.7936000000000005</v>
      </c>
      <c r="L3289" s="20" t="s">
        <v>8</v>
      </c>
      <c r="M3289" s="1146"/>
      <c r="N3289" s="1103"/>
      <c r="O3289" s="34"/>
      <c r="P3289" s="283"/>
      <c r="Q3289" s="282"/>
      <c r="R3289" s="284"/>
    </row>
    <row r="3290" spans="1:18" ht="30" customHeight="1">
      <c r="A3290" s="629" t="s">
        <v>1790</v>
      </c>
      <c r="B3290" s="1176" t="s">
        <v>2771</v>
      </c>
      <c r="C3290" s="1177"/>
      <c r="D3290" s="1178"/>
      <c r="E3290" s="23">
        <f>((3.26+6.08)/2)*960</f>
        <v>4483.2</v>
      </c>
      <c r="F3290" s="20" t="s">
        <v>10</v>
      </c>
      <c r="G3290" s="513">
        <f>+H3286</f>
        <v>2714</v>
      </c>
      <c r="H3290" s="251" t="s">
        <v>985</v>
      </c>
      <c r="I3290" s="20">
        <v>1.05</v>
      </c>
      <c r="J3290" s="20"/>
      <c r="K3290" s="153">
        <f>+E3290/G3290*I3290</f>
        <v>1.7344731024318349</v>
      </c>
      <c r="L3290" s="20" t="s">
        <v>8</v>
      </c>
      <c r="M3290" s="1146"/>
      <c r="N3290" s="1103"/>
      <c r="O3290" s="34"/>
      <c r="P3290" s="283"/>
      <c r="Q3290" s="282"/>
      <c r="R3290" s="284"/>
    </row>
    <row r="3291" spans="1:18" ht="30" customHeight="1">
      <c r="A3291" s="629" t="s">
        <v>1790</v>
      </c>
      <c r="B3291" s="1176" t="s">
        <v>1791</v>
      </c>
      <c r="C3291" s="1177"/>
      <c r="D3291" s="1178"/>
      <c r="E3291" s="23">
        <f>((4.06+7.45)/2)*800</f>
        <v>4604</v>
      </c>
      <c r="F3291" s="20" t="s">
        <v>10</v>
      </c>
      <c r="G3291" s="513">
        <f>H3286</f>
        <v>2714</v>
      </c>
      <c r="H3291" s="251" t="s">
        <v>985</v>
      </c>
      <c r="I3291" s="20">
        <v>1.05</v>
      </c>
      <c r="J3291" s="20"/>
      <c r="K3291" s="153">
        <f>+E3291/G3291*I3291</f>
        <v>1.7812085482682389</v>
      </c>
      <c r="L3291" s="20" t="s">
        <v>8</v>
      </c>
      <c r="M3291" s="1146"/>
      <c r="N3291" s="1103"/>
      <c r="O3291"/>
      <c r="P3291" s="159"/>
      <c r="Q3291" s="147"/>
      <c r="R3291" s="149"/>
    </row>
    <row r="3292" spans="1:18" ht="30" customHeight="1">
      <c r="A3292" s="45" t="s">
        <v>1790</v>
      </c>
      <c r="B3292" s="1176" t="s">
        <v>1792</v>
      </c>
      <c r="C3292" s="1177"/>
      <c r="D3292" s="1178"/>
      <c r="E3292" s="23">
        <f>((170+325)/2)</f>
        <v>247.5</v>
      </c>
      <c r="F3292" s="20" t="s">
        <v>10</v>
      </c>
      <c r="G3292" s="513">
        <f>H3286</f>
        <v>2714</v>
      </c>
      <c r="H3292" s="251" t="s">
        <v>985</v>
      </c>
      <c r="I3292" s="20">
        <v>1.05</v>
      </c>
      <c r="J3292" s="20"/>
      <c r="K3292" s="153">
        <f>+E3292/G3292*I3292</f>
        <v>9.5753500368459837E-2</v>
      </c>
      <c r="L3292" s="20" t="s">
        <v>8</v>
      </c>
      <c r="M3292" s="1146"/>
      <c r="N3292" s="1103"/>
      <c r="O3292"/>
      <c r="P3292" s="159"/>
      <c r="Q3292" s="147"/>
      <c r="R3292" s="149"/>
    </row>
    <row r="3293" spans="1:18" ht="30" customHeight="1">
      <c r="A3293" s="713"/>
      <c r="B3293" s="1224"/>
      <c r="C3293" s="1224"/>
      <c r="D3293" s="1224"/>
      <c r="E3293" s="153"/>
      <c r="F3293" s="20"/>
      <c r="G3293" s="395"/>
      <c r="H3293" s="329"/>
      <c r="I3293" s="20"/>
      <c r="J3293" s="20" t="s">
        <v>346</v>
      </c>
      <c r="K3293" s="153">
        <f>SUM(K3288:K3292)</f>
        <v>140.95663515106855</v>
      </c>
      <c r="L3293" s="20" t="s">
        <v>8</v>
      </c>
      <c r="M3293" s="1146"/>
      <c r="N3293" s="1103"/>
      <c r="O3293"/>
      <c r="P3293" s="159"/>
      <c r="Q3293" s="147"/>
      <c r="R3293" s="149"/>
    </row>
    <row r="3294" spans="1:18" ht="30" customHeight="1">
      <c r="A3294" s="45"/>
      <c r="B3294" s="157"/>
      <c r="C3294" s="157"/>
      <c r="D3294" s="157"/>
      <c r="E3294" s="153"/>
      <c r="F3294" s="1174" t="s">
        <v>308</v>
      </c>
      <c r="G3294" s="1208" t="s">
        <v>309</v>
      </c>
      <c r="H3294" s="1208"/>
      <c r="I3294" s="1208"/>
      <c r="J3294" s="1208"/>
      <c r="K3294" s="123">
        <v>1.06</v>
      </c>
      <c r="L3294" s="10"/>
      <c r="M3294" s="1146"/>
      <c r="N3294" s="1103"/>
      <c r="O3294"/>
      <c r="P3294" s="159"/>
      <c r="Q3294" s="147"/>
      <c r="R3294" s="149"/>
    </row>
    <row r="3295" spans="1:18" ht="30" customHeight="1">
      <c r="A3295" s="45"/>
      <c r="B3295" s="157"/>
      <c r="C3295" s="157"/>
      <c r="D3295" s="157"/>
      <c r="E3295" s="153"/>
      <c r="F3295" s="1175"/>
      <c r="G3295" s="1209" t="s">
        <v>310</v>
      </c>
      <c r="H3295" s="1209"/>
      <c r="I3295" s="1209"/>
      <c r="J3295" s="1209"/>
      <c r="K3295" s="123">
        <v>1.07</v>
      </c>
      <c r="L3295" s="10"/>
      <c r="M3295" s="1146"/>
      <c r="N3295" s="1103"/>
      <c r="O3295"/>
      <c r="P3295" s="159"/>
      <c r="Q3295" s="147"/>
      <c r="R3295" s="149"/>
    </row>
    <row r="3296" spans="1:18" ht="30" customHeight="1">
      <c r="A3296" s="45"/>
      <c r="B3296" s="20"/>
      <c r="C3296" s="18"/>
      <c r="D3296" s="18"/>
      <c r="E3296" s="18"/>
      <c r="F3296" s="18"/>
      <c r="G3296" s="18"/>
      <c r="H3296" s="18"/>
      <c r="I3296" s="18"/>
      <c r="J3296" s="20" t="s">
        <v>289</v>
      </c>
      <c r="K3296" s="23">
        <f>+K3293*K3294/K3295</f>
        <v>139.63928342068473</v>
      </c>
      <c r="L3296" s="20" t="s">
        <v>8</v>
      </c>
      <c r="M3296" s="1146"/>
      <c r="N3296" s="1103"/>
      <c r="O3296"/>
      <c r="P3296" s="159"/>
      <c r="Q3296" s="147"/>
      <c r="R3296" s="149"/>
    </row>
    <row r="3297" spans="1:24" ht="30" customHeight="1" thickBot="1">
      <c r="A3297" s="45"/>
      <c r="B3297" s="20"/>
      <c r="C3297" s="18"/>
      <c r="D3297" s="18"/>
      <c r="E3297" s="18"/>
      <c r="F3297" s="18"/>
      <c r="G3297" s="160" t="s">
        <v>312</v>
      </c>
      <c r="H3297" s="18"/>
      <c r="I3297" s="18"/>
      <c r="J3297" s="139">
        <f>VLOOKUP(B3286,'Mil Cost Premiums for RUCs'!$A$4:$R$266,18,FALSE)</f>
        <v>1.3319480854780448</v>
      </c>
      <c r="K3297" s="23">
        <f>+K3296*J3297</f>
        <v>185.99227620970711</v>
      </c>
      <c r="L3297" s="20" t="s">
        <v>8</v>
      </c>
      <c r="M3297" s="1146"/>
      <c r="N3297" s="1103"/>
      <c r="O3297"/>
      <c r="P3297" s="159"/>
      <c r="Q3297" s="147"/>
      <c r="R3297" s="149"/>
    </row>
    <row r="3298" spans="1:24" ht="30" customHeight="1" thickBot="1">
      <c r="A3298" s="1165"/>
      <c r="B3298" s="1166"/>
      <c r="C3298" s="1166"/>
      <c r="D3298" s="1166"/>
      <c r="E3298" s="1166"/>
      <c r="F3298" s="1166"/>
      <c r="G3298" s="1166"/>
      <c r="H3298" s="1166"/>
      <c r="I3298" s="1166"/>
      <c r="J3298" s="1166"/>
      <c r="K3298" s="1166"/>
      <c r="L3298" s="1167"/>
      <c r="M3298" s="1146"/>
      <c r="N3298" s="282"/>
      <c r="O3298"/>
      <c r="P3298" s="159"/>
      <c r="Q3298" s="147"/>
      <c r="R3298" s="149"/>
    </row>
    <row r="3299" spans="1:24" ht="30" customHeight="1">
      <c r="A3299" s="81" t="s">
        <v>280</v>
      </c>
      <c r="B3299" s="82">
        <v>7511</v>
      </c>
      <c r="C3299" s="1228" t="s">
        <v>1793</v>
      </c>
      <c r="D3299" s="1229"/>
      <c r="E3299" s="74" t="s">
        <v>282</v>
      </c>
      <c r="F3299" s="75" t="s">
        <v>10</v>
      </c>
      <c r="G3299" s="91" t="s">
        <v>281</v>
      </c>
      <c r="H3299" s="104">
        <v>1</v>
      </c>
      <c r="I3299" s="74" t="s">
        <v>283</v>
      </c>
      <c r="J3299" s="1199" t="s">
        <v>1794</v>
      </c>
      <c r="K3299" s="1230"/>
      <c r="L3299" s="1231"/>
      <c r="M3299" s="1146"/>
      <c r="N3299" s="282"/>
      <c r="O3299"/>
      <c r="P3299" s="159"/>
      <c r="Q3299" s="147"/>
      <c r="R3299" s="149"/>
    </row>
    <row r="3300" spans="1:24" ht="30" customHeight="1">
      <c r="A3300" s="77" t="s">
        <v>293</v>
      </c>
      <c r="B3300" s="1232" t="s">
        <v>284</v>
      </c>
      <c r="C3300" s="1232"/>
      <c r="D3300" s="1232"/>
      <c r="E3300" s="96" t="s">
        <v>1795</v>
      </c>
      <c r="F3300" s="77" t="s">
        <v>294</v>
      </c>
      <c r="G3300" s="1365" t="s">
        <v>332</v>
      </c>
      <c r="H3300" s="1366"/>
      <c r="I3300" s="1233" t="s">
        <v>426</v>
      </c>
      <c r="J3300" s="1234"/>
      <c r="K3300" s="1303" t="s">
        <v>297</v>
      </c>
      <c r="L3300" s="1304"/>
      <c r="M3300" s="1146"/>
      <c r="N3300" s="1103"/>
      <c r="O3300"/>
      <c r="P3300" s="159"/>
      <c r="Q3300" s="147"/>
      <c r="R3300" s="149"/>
    </row>
    <row r="3301" spans="1:24" ht="30" customHeight="1">
      <c r="A3301" s="20">
        <v>75018</v>
      </c>
      <c r="B3301" s="1267" t="s">
        <v>1796</v>
      </c>
      <c r="C3301" s="1267"/>
      <c r="D3301" s="1267"/>
      <c r="E3301" s="153">
        <v>20</v>
      </c>
      <c r="F3301" s="316">
        <v>16700</v>
      </c>
      <c r="G3301" s="529" t="s">
        <v>573</v>
      </c>
      <c r="H3301" s="286"/>
      <c r="I3301" s="1546">
        <f>+'2019 MILCON Inflation Table'!$F$15</f>
        <v>1</v>
      </c>
      <c r="J3301" s="1547"/>
      <c r="K3301" s="106">
        <f>+E3301*F3301*I3301</f>
        <v>334000</v>
      </c>
      <c r="L3301" s="97" t="s">
        <v>10</v>
      </c>
      <c r="M3301" s="1146"/>
      <c r="N3301" s="1103"/>
      <c r="O3301"/>
      <c r="P3301" s="159"/>
      <c r="Q3301" s="147"/>
      <c r="R3301" s="149"/>
    </row>
    <row r="3302" spans="1:24" ht="30" customHeight="1">
      <c r="A3302" s="20">
        <v>75018</v>
      </c>
      <c r="B3302" s="1267" t="s">
        <v>1797</v>
      </c>
      <c r="C3302" s="1267"/>
      <c r="D3302" s="1267"/>
      <c r="E3302" s="714">
        <v>16</v>
      </c>
      <c r="F3302" s="316">
        <v>23900</v>
      </c>
      <c r="G3302" s="529" t="s">
        <v>573</v>
      </c>
      <c r="H3302" s="286"/>
      <c r="I3302" s="1546">
        <f>+'2019 MILCON Inflation Table'!$F$15</f>
        <v>1</v>
      </c>
      <c r="J3302" s="1547"/>
      <c r="K3302" s="106">
        <f>+E3302*F3302*I3302</f>
        <v>382400</v>
      </c>
      <c r="L3302" s="97" t="s">
        <v>10</v>
      </c>
      <c r="M3302" s="1146"/>
      <c r="N3302" s="1103"/>
      <c r="O3302"/>
      <c r="P3302" s="159"/>
      <c r="Q3302" s="147"/>
      <c r="R3302" s="149"/>
    </row>
    <row r="3303" spans="1:24" ht="30" customHeight="1">
      <c r="A3303" s="20">
        <v>75018</v>
      </c>
      <c r="B3303" s="1267" t="s">
        <v>1798</v>
      </c>
      <c r="C3303" s="1267"/>
      <c r="D3303" s="1267"/>
      <c r="E3303" s="153">
        <v>11</v>
      </c>
      <c r="F3303" s="316">
        <v>4760</v>
      </c>
      <c r="G3303" s="529" t="s">
        <v>573</v>
      </c>
      <c r="H3303" s="286"/>
      <c r="I3303" s="1546">
        <f>+'2019 MILCON Inflation Table'!$F$15</f>
        <v>1</v>
      </c>
      <c r="J3303" s="1547"/>
      <c r="K3303" s="106">
        <f>+E3303*F3303*I3303</f>
        <v>52360</v>
      </c>
      <c r="L3303" s="97" t="s">
        <v>10</v>
      </c>
      <c r="M3303" s="1146"/>
      <c r="N3303" s="1103"/>
      <c r="O3303"/>
      <c r="P3303" s="159"/>
      <c r="Q3303" s="147"/>
      <c r="R3303" s="149"/>
    </row>
    <row r="3304" spans="1:24" ht="30" customHeight="1">
      <c r="A3304" s="20">
        <v>75018</v>
      </c>
      <c r="B3304" s="1267" t="s">
        <v>1799</v>
      </c>
      <c r="C3304" s="1267"/>
      <c r="D3304" s="1267"/>
      <c r="E3304" s="153">
        <v>8.3000000000000007</v>
      </c>
      <c r="F3304" s="316">
        <v>11340</v>
      </c>
      <c r="G3304" s="529" t="s">
        <v>573</v>
      </c>
      <c r="H3304" s="286"/>
      <c r="I3304" s="1546">
        <f>+'2019 MILCON Inflation Table'!$F$15</f>
        <v>1</v>
      </c>
      <c r="J3304" s="1547"/>
      <c r="K3304" s="106">
        <f>+E3304*F3304*I3304</f>
        <v>94122.000000000015</v>
      </c>
      <c r="L3304" s="97" t="s">
        <v>10</v>
      </c>
      <c r="M3304" s="1146"/>
      <c r="N3304" s="1103"/>
      <c r="O3304"/>
      <c r="P3304" s="159"/>
      <c r="Q3304" s="147"/>
      <c r="R3304" s="149"/>
      <c r="T3304" s="38"/>
      <c r="U3304" s="38"/>
      <c r="V3304" s="38"/>
      <c r="W3304" s="38"/>
      <c r="X3304" s="38"/>
    </row>
    <row r="3305" spans="1:24" s="38" customFormat="1" ht="30" customHeight="1" thickBot="1">
      <c r="A3305" s="20"/>
      <c r="B3305" s="1179"/>
      <c r="C3305" s="1180"/>
      <c r="D3305" s="1181"/>
      <c r="E3305" s="181"/>
      <c r="F3305" s="338"/>
      <c r="G3305" s="181"/>
      <c r="H3305" s="339" t="s">
        <v>311</v>
      </c>
      <c r="I3305" s="18"/>
      <c r="J3305" s="79" t="s">
        <v>289</v>
      </c>
      <c r="K3305" s="107">
        <f>AVERAGE(K3301:K3304)</f>
        <v>215720.5</v>
      </c>
      <c r="L3305" s="97" t="s">
        <v>10</v>
      </c>
      <c r="M3305" s="1146"/>
      <c r="N3305" s="1103"/>
      <c r="P3305" s="159"/>
      <c r="Q3305" s="147"/>
      <c r="R3305" s="149"/>
      <c r="T3305"/>
      <c r="U3305"/>
      <c r="V3305"/>
      <c r="W3305"/>
      <c r="X3305"/>
    </row>
    <row r="3306" spans="1:24" ht="30" customHeight="1" thickBot="1">
      <c r="A3306" s="1165"/>
      <c r="B3306" s="1166"/>
      <c r="C3306" s="1166"/>
      <c r="D3306" s="1166"/>
      <c r="E3306" s="1166"/>
      <c r="F3306" s="1166"/>
      <c r="G3306" s="1166"/>
      <c r="H3306" s="1166"/>
      <c r="I3306" s="1166"/>
      <c r="J3306" s="1166"/>
      <c r="K3306" s="1166"/>
      <c r="L3306" s="1167"/>
      <c r="M3306" s="1146"/>
      <c r="N3306" s="1103"/>
      <c r="O3306"/>
      <c r="P3306" s="159"/>
      <c r="Q3306" s="147"/>
      <c r="R3306" s="149"/>
    </row>
    <row r="3307" spans="1:24" ht="30" customHeight="1">
      <c r="A3307" s="81" t="s">
        <v>280</v>
      </c>
      <c r="B3307" s="82">
        <v>7512</v>
      </c>
      <c r="C3307" s="1197" t="s">
        <v>1800</v>
      </c>
      <c r="D3307" s="1198"/>
      <c r="E3307" s="74" t="s">
        <v>282</v>
      </c>
      <c r="F3307" s="75" t="s">
        <v>10</v>
      </c>
      <c r="G3307" s="181" t="s">
        <v>281</v>
      </c>
      <c r="H3307" s="76">
        <v>1</v>
      </c>
      <c r="I3307" s="74" t="s">
        <v>283</v>
      </c>
      <c r="J3307" s="1199" t="s">
        <v>2529</v>
      </c>
      <c r="K3307" s="1199"/>
      <c r="L3307" s="1200"/>
      <c r="M3307" s="1146"/>
      <c r="N3307" s="1103"/>
      <c r="O3307"/>
      <c r="P3307" s="159"/>
      <c r="Q3307" s="147"/>
      <c r="R3307" s="149"/>
    </row>
    <row r="3308" spans="1:24" ht="30" customHeight="1">
      <c r="A3308" s="79" t="s">
        <v>304</v>
      </c>
      <c r="B3308" s="1201" t="s">
        <v>330</v>
      </c>
      <c r="C3308" s="1202"/>
      <c r="D3308" s="1203"/>
      <c r="E3308" s="150" t="s">
        <v>295</v>
      </c>
      <c r="F3308" s="150" t="s">
        <v>331</v>
      </c>
      <c r="G3308" s="1204" t="s">
        <v>332</v>
      </c>
      <c r="H3308" s="1205"/>
      <c r="I3308" s="77" t="s">
        <v>305</v>
      </c>
      <c r="J3308" s="77"/>
      <c r="K3308" s="1303" t="s">
        <v>297</v>
      </c>
      <c r="L3308" s="1304"/>
      <c r="M3308" s="1146"/>
      <c r="N3308" s="1103"/>
      <c r="O3308"/>
      <c r="P3308" s="159"/>
      <c r="Q3308" s="147"/>
      <c r="R3308" s="149"/>
    </row>
    <row r="3309" spans="1:24" ht="30" customHeight="1">
      <c r="A3309" s="79"/>
      <c r="B3309" s="1176" t="s">
        <v>570</v>
      </c>
      <c r="C3309" s="1177"/>
      <c r="D3309" s="1178"/>
      <c r="E3309" s="150"/>
      <c r="F3309" s="150"/>
      <c r="G3309" s="347"/>
      <c r="H3309" s="348"/>
      <c r="I3309" s="244"/>
      <c r="J3309" s="244"/>
      <c r="K3309" s="150"/>
      <c r="L3309" s="150"/>
      <c r="M3309" s="1146"/>
      <c r="N3309" s="1103"/>
      <c r="O3309" s="34"/>
      <c r="P3309" s="283"/>
      <c r="Q3309" s="282"/>
      <c r="R3309" s="284"/>
    </row>
    <row r="3310" spans="1:24" ht="30" customHeight="1">
      <c r="A3310" s="20" t="s">
        <v>1801</v>
      </c>
      <c r="B3310" s="1179" t="s">
        <v>1802</v>
      </c>
      <c r="C3310" s="1180"/>
      <c r="D3310" s="1181"/>
      <c r="E3310" s="349">
        <f>+(62+76.5)/2</f>
        <v>69.25</v>
      </c>
      <c r="F3310" s="22" t="s">
        <v>8</v>
      </c>
      <c r="G3310" s="350">
        <v>13455</v>
      </c>
      <c r="H3310" s="267" t="s">
        <v>573</v>
      </c>
      <c r="I3310" s="20">
        <v>1.05</v>
      </c>
      <c r="J3310" s="20"/>
      <c r="K3310" s="349">
        <f>+I3310*G3310*E3310</f>
        <v>978346.6875</v>
      </c>
      <c r="L3310" s="22" t="s">
        <v>10</v>
      </c>
      <c r="M3310" s="1146"/>
      <c r="N3310" s="1103"/>
      <c r="O3310" s="34"/>
      <c r="P3310" s="283"/>
      <c r="Q3310" s="282"/>
      <c r="R3310" s="284"/>
    </row>
    <row r="3311" spans="1:24" ht="30" customHeight="1">
      <c r="A3311" s="20"/>
      <c r="B3311" s="1179" t="s">
        <v>1803</v>
      </c>
      <c r="C3311" s="1180"/>
      <c r="D3311" s="1181"/>
      <c r="E3311" s="349"/>
      <c r="F3311" s="22"/>
      <c r="G3311" s="350"/>
      <c r="H3311" s="267"/>
      <c r="I3311" s="20"/>
      <c r="J3311" s="20"/>
      <c r="K3311" s="349">
        <f>+K3310*0.8</f>
        <v>782677.35000000009</v>
      </c>
      <c r="L3311" s="22" t="s">
        <v>10</v>
      </c>
      <c r="M3311" s="1146"/>
      <c r="N3311" s="1103"/>
      <c r="O3311"/>
      <c r="P3311" s="159"/>
      <c r="Q3311" s="147"/>
      <c r="R3311" s="149"/>
    </row>
    <row r="3312" spans="1:24" ht="30" customHeight="1">
      <c r="A3312" s="651" t="s">
        <v>538</v>
      </c>
      <c r="B3312" s="1179" t="s">
        <v>2772</v>
      </c>
      <c r="C3312" s="1180"/>
      <c r="D3312" s="1181"/>
      <c r="E3312" s="349">
        <f>+(4.41+6.58)/2</f>
        <v>5.4950000000000001</v>
      </c>
      <c r="F3312" s="22" t="s">
        <v>8</v>
      </c>
      <c r="G3312" s="350">
        <v>11238</v>
      </c>
      <c r="H3312" s="267" t="s">
        <v>573</v>
      </c>
      <c r="I3312" s="20">
        <v>1.05</v>
      </c>
      <c r="J3312" s="20"/>
      <c r="K3312" s="349">
        <f>+I3312*G3312*E3312</f>
        <v>64840.450499999999</v>
      </c>
      <c r="L3312" s="22" t="s">
        <v>10</v>
      </c>
      <c r="M3312" s="1146"/>
      <c r="N3312" s="1103"/>
      <c r="O3312"/>
      <c r="P3312" s="159"/>
      <c r="Q3312" s="147"/>
      <c r="R3312" s="149"/>
    </row>
    <row r="3313" spans="1:24" ht="30" customHeight="1">
      <c r="A3313" s="651" t="s">
        <v>538</v>
      </c>
      <c r="B3313" s="1179" t="s">
        <v>1804</v>
      </c>
      <c r="C3313" s="1180"/>
      <c r="D3313" s="1181"/>
      <c r="E3313" s="349">
        <f>+(0.4+1.04)/2</f>
        <v>0.72</v>
      </c>
      <c r="F3313" s="22" t="s">
        <v>8</v>
      </c>
      <c r="G3313" s="350">
        <v>11238</v>
      </c>
      <c r="H3313" s="267" t="s">
        <v>573</v>
      </c>
      <c r="I3313" s="20">
        <v>1.05</v>
      </c>
      <c r="J3313" s="20"/>
      <c r="K3313" s="349">
        <f>+I3313*G3313*E3313</f>
        <v>8495.9279999999999</v>
      </c>
      <c r="L3313" s="22" t="s">
        <v>10</v>
      </c>
      <c r="M3313" s="1146"/>
      <c r="N3313" s="1103"/>
      <c r="O3313"/>
      <c r="P3313" s="159"/>
      <c r="Q3313" s="147"/>
      <c r="R3313" s="149"/>
    </row>
    <row r="3314" spans="1:24" ht="30" customHeight="1">
      <c r="A3314" s="651" t="s">
        <v>1790</v>
      </c>
      <c r="B3314" s="1179" t="s">
        <v>1805</v>
      </c>
      <c r="C3314" s="1180"/>
      <c r="D3314" s="1181"/>
      <c r="E3314" s="473">
        <f>16.35+2.14</f>
        <v>18.490000000000002</v>
      </c>
      <c r="F3314" s="317" t="s">
        <v>6</v>
      </c>
      <c r="G3314" s="317">
        <v>650</v>
      </c>
      <c r="H3314" s="267" t="s">
        <v>1806</v>
      </c>
      <c r="I3314" s="20">
        <v>1.05</v>
      </c>
      <c r="J3314" s="20"/>
      <c r="K3314" s="473">
        <f>+I3314*G3314*E3314</f>
        <v>12619.425000000001</v>
      </c>
      <c r="L3314" s="20" t="s">
        <v>10</v>
      </c>
      <c r="M3314" s="1146"/>
      <c r="N3314" s="1103"/>
      <c r="O3314"/>
      <c r="P3314" s="159"/>
      <c r="Q3314" s="147"/>
      <c r="R3314" s="149"/>
      <c r="T3314" s="38"/>
      <c r="U3314" s="38"/>
      <c r="V3314" s="38"/>
      <c r="W3314" s="38"/>
      <c r="X3314" s="38"/>
    </row>
    <row r="3315" spans="1:24" s="38" customFormat="1" ht="30" customHeight="1">
      <c r="A3315" s="651" t="s">
        <v>1790</v>
      </c>
      <c r="B3315" s="1176" t="s">
        <v>1807</v>
      </c>
      <c r="C3315" s="1177"/>
      <c r="D3315" s="1178"/>
      <c r="E3315" s="473">
        <v>454</v>
      </c>
      <c r="F3315" s="317" t="s">
        <v>10</v>
      </c>
      <c r="G3315" s="521">
        <v>4</v>
      </c>
      <c r="H3315" s="333" t="s">
        <v>10</v>
      </c>
      <c r="I3315" s="267">
        <v>1.05</v>
      </c>
      <c r="J3315" s="20"/>
      <c r="K3315" s="473">
        <f>+I3315*G3315*E3315</f>
        <v>1906.8000000000002</v>
      </c>
      <c r="L3315" s="20" t="s">
        <v>10</v>
      </c>
      <c r="M3315" s="1146"/>
      <c r="N3315" s="1103"/>
      <c r="P3315" s="159"/>
      <c r="Q3315" s="147"/>
      <c r="R3315" s="149"/>
    </row>
    <row r="3316" spans="1:24" s="38" customFormat="1" ht="30" customHeight="1">
      <c r="A3316" s="351"/>
      <c r="B3316" s="1267"/>
      <c r="C3316" s="1267"/>
      <c r="D3316" s="1267"/>
      <c r="E3316" s="153"/>
      <c r="F3316" s="20"/>
      <c r="G3316" s="352"/>
      <c r="H3316" s="22"/>
      <c r="I3316" s="20"/>
      <c r="J3316" s="20" t="s">
        <v>346</v>
      </c>
      <c r="K3316" s="353">
        <f>SUM(K3311:K3314)</f>
        <v>868633.15350000013</v>
      </c>
      <c r="L3316" s="20" t="s">
        <v>10</v>
      </c>
      <c r="M3316" s="1146"/>
      <c r="N3316" s="1103"/>
      <c r="P3316" s="159"/>
      <c r="Q3316" s="147"/>
      <c r="R3316" s="149"/>
      <c r="T3316"/>
      <c r="U3316"/>
      <c r="V3316"/>
      <c r="W3316"/>
      <c r="X3316"/>
    </row>
    <row r="3317" spans="1:24" ht="30" customHeight="1">
      <c r="A3317" s="20"/>
      <c r="B3317" s="157"/>
      <c r="C3317" s="157"/>
      <c r="D3317" s="157"/>
      <c r="E3317" s="153"/>
      <c r="F3317" s="1174" t="s">
        <v>308</v>
      </c>
      <c r="G3317" s="1208" t="s">
        <v>309</v>
      </c>
      <c r="H3317" s="1208"/>
      <c r="I3317" s="1208"/>
      <c r="J3317" s="1208"/>
      <c r="K3317" s="123">
        <v>1.06</v>
      </c>
      <c r="L3317" s="10"/>
      <c r="M3317" s="1146"/>
      <c r="N3317" s="1103"/>
      <c r="O3317"/>
      <c r="P3317" s="159"/>
      <c r="Q3317" s="147"/>
      <c r="R3317" s="149"/>
    </row>
    <row r="3318" spans="1:24" ht="30" customHeight="1">
      <c r="A3318" s="20"/>
      <c r="B3318" s="157"/>
      <c r="C3318" s="157"/>
      <c r="D3318" s="157"/>
      <c r="E3318" s="153"/>
      <c r="F3318" s="1175"/>
      <c r="G3318" s="1209" t="s">
        <v>310</v>
      </c>
      <c r="H3318" s="1209"/>
      <c r="I3318" s="1209"/>
      <c r="J3318" s="1209"/>
      <c r="K3318" s="123">
        <v>1.07</v>
      </c>
      <c r="L3318" s="10"/>
      <c r="M3318" s="1146"/>
      <c r="N3318" s="282"/>
      <c r="O3318" s="34"/>
      <c r="P3318" s="283"/>
      <c r="Q3318" s="282"/>
      <c r="R3318" s="284"/>
    </row>
    <row r="3319" spans="1:24" ht="30" customHeight="1">
      <c r="A3319" s="20"/>
      <c r="B3319" s="20"/>
      <c r="C3319" s="18"/>
      <c r="D3319" s="18"/>
      <c r="E3319" s="18"/>
      <c r="F3319" s="18"/>
      <c r="G3319" s="18"/>
      <c r="H3319" s="18"/>
      <c r="I3319" s="18"/>
      <c r="J3319" s="20" t="s">
        <v>289</v>
      </c>
      <c r="K3319" s="354">
        <f>+K3316*K3317/K3318</f>
        <v>860515.08664485987</v>
      </c>
      <c r="L3319" s="20" t="s">
        <v>10</v>
      </c>
      <c r="M3319" s="1146"/>
      <c r="N3319" s="282"/>
      <c r="O3319" s="34"/>
      <c r="P3319" s="283"/>
      <c r="Q3319" s="282"/>
      <c r="R3319" s="284"/>
    </row>
    <row r="3320" spans="1:24" ht="30" customHeight="1" thickBot="1">
      <c r="A3320" s="20"/>
      <c r="B3320" s="20"/>
      <c r="C3320" s="18"/>
      <c r="D3320" s="18"/>
      <c r="E3320" s="18"/>
      <c r="F3320" s="18"/>
      <c r="G3320" s="160" t="s">
        <v>312</v>
      </c>
      <c r="H3320" s="18"/>
      <c r="I3320" s="18"/>
      <c r="J3320" s="139">
        <f>VLOOKUP(B3307,'Mil Cost Premiums for RUCs'!$A$4:$R$266,18,FALSE)</f>
        <v>1.1379589900046172</v>
      </c>
      <c r="K3320" s="23">
        <f>+K3319*J3320</f>
        <v>979230.87888212036</v>
      </c>
      <c r="L3320" s="20" t="s">
        <v>10</v>
      </c>
      <c r="M3320" s="1146"/>
      <c r="N3320" s="1103"/>
      <c r="O3320"/>
      <c r="P3320" s="159"/>
      <c r="Q3320" s="147"/>
      <c r="R3320" s="149"/>
    </row>
    <row r="3321" spans="1:24" ht="30" customHeight="1" thickBot="1">
      <c r="A3321" s="1165"/>
      <c r="B3321" s="1166"/>
      <c r="C3321" s="1166"/>
      <c r="D3321" s="1166"/>
      <c r="E3321" s="1166"/>
      <c r="F3321" s="1166"/>
      <c r="G3321" s="1166"/>
      <c r="H3321" s="1166"/>
      <c r="I3321" s="1166"/>
      <c r="J3321" s="1166"/>
      <c r="K3321" s="1166"/>
      <c r="L3321" s="1167"/>
      <c r="M3321" s="1146"/>
      <c r="N3321" s="1103"/>
      <c r="O3321"/>
      <c r="P3321" s="159"/>
      <c r="Q3321" s="147"/>
      <c r="R3321" s="149"/>
    </row>
    <row r="3322" spans="1:24" ht="30" customHeight="1">
      <c r="A3322" s="27" t="s">
        <v>280</v>
      </c>
      <c r="B3322" s="82">
        <v>7513</v>
      </c>
      <c r="C3322" s="1197" t="s">
        <v>1808</v>
      </c>
      <c r="D3322" s="1198"/>
      <c r="E3322" s="74" t="s">
        <v>282</v>
      </c>
      <c r="F3322" s="75" t="s">
        <v>10</v>
      </c>
      <c r="G3322" s="181" t="s">
        <v>281</v>
      </c>
      <c r="H3322" s="701">
        <v>1</v>
      </c>
      <c r="I3322" s="74" t="s">
        <v>283</v>
      </c>
      <c r="J3322" s="1199" t="s">
        <v>2529</v>
      </c>
      <c r="K3322" s="1199"/>
      <c r="L3322" s="1200"/>
      <c r="M3322" s="1146"/>
      <c r="N3322" s="1103"/>
      <c r="O3322"/>
      <c r="P3322" s="159"/>
      <c r="Q3322" s="147"/>
      <c r="R3322" s="149"/>
    </row>
    <row r="3323" spans="1:24" ht="30" customHeight="1">
      <c r="A3323" s="37" t="s">
        <v>304</v>
      </c>
      <c r="B3323" s="1201" t="s">
        <v>330</v>
      </c>
      <c r="C3323" s="1202"/>
      <c r="D3323" s="1203"/>
      <c r="E3323" s="150" t="s">
        <v>295</v>
      </c>
      <c r="F3323" s="150" t="s">
        <v>331</v>
      </c>
      <c r="G3323" s="1204" t="s">
        <v>332</v>
      </c>
      <c r="H3323" s="1205"/>
      <c r="I3323" s="77" t="s">
        <v>305</v>
      </c>
      <c r="J3323" s="77"/>
      <c r="K3323" s="1303" t="s">
        <v>297</v>
      </c>
      <c r="L3323" s="1304"/>
      <c r="M3323" s="1146"/>
      <c r="N3323" s="1103"/>
      <c r="O3323"/>
      <c r="P3323" s="159"/>
      <c r="Q3323" s="147"/>
      <c r="R3323" s="149"/>
      <c r="T3323" s="38"/>
      <c r="U3323" s="38"/>
      <c r="V3323" s="38"/>
      <c r="W3323" s="38"/>
      <c r="X3323" s="38"/>
    </row>
    <row r="3324" spans="1:24" s="38" customFormat="1" ht="30" customHeight="1">
      <c r="A3324" s="37"/>
      <c r="B3324" s="207" t="s">
        <v>1809</v>
      </c>
      <c r="C3324" s="468"/>
      <c r="D3324" s="469"/>
      <c r="E3324" s="150"/>
      <c r="F3324" s="150"/>
      <c r="G3324" s="347"/>
      <c r="H3324" s="348"/>
      <c r="I3324" s="244"/>
      <c r="J3324" s="244"/>
      <c r="K3324" s="150"/>
      <c r="L3324" s="150"/>
      <c r="M3324" s="1146"/>
      <c r="N3324" s="1103"/>
      <c r="P3324" s="159"/>
      <c r="Q3324" s="147"/>
      <c r="R3324" s="149"/>
      <c r="T3324"/>
      <c r="U3324"/>
      <c r="V3324"/>
      <c r="W3324"/>
      <c r="X3324"/>
    </row>
    <row r="3325" spans="1:24" ht="30" customHeight="1">
      <c r="A3325" s="652" t="s">
        <v>1810</v>
      </c>
      <c r="B3325" s="1179" t="s">
        <v>1811</v>
      </c>
      <c r="C3325" s="1180"/>
      <c r="D3325" s="1181"/>
      <c r="E3325" s="153">
        <f>+(149000+220000)/2</f>
        <v>184500</v>
      </c>
      <c r="F3325" s="22" t="s">
        <v>1812</v>
      </c>
      <c r="G3325" s="317">
        <v>18</v>
      </c>
      <c r="H3325" s="267" t="s">
        <v>1813</v>
      </c>
      <c r="I3325" s="326">
        <v>1.04</v>
      </c>
      <c r="J3325" s="20"/>
      <c r="K3325" s="153">
        <f>+E3325*G3325*I3325</f>
        <v>3453840</v>
      </c>
      <c r="L3325" s="20" t="s">
        <v>10</v>
      </c>
      <c r="M3325" s="1146"/>
      <c r="N3325" s="1103"/>
      <c r="O3325"/>
      <c r="P3325" s="159"/>
      <c r="Q3325" s="147"/>
      <c r="R3325" s="149"/>
    </row>
    <row r="3326" spans="1:24" ht="30" customHeight="1">
      <c r="A3326" s="652" t="s">
        <v>1810</v>
      </c>
      <c r="B3326" s="1179" t="s">
        <v>1814</v>
      </c>
      <c r="C3326" s="1180"/>
      <c r="D3326" s="1181"/>
      <c r="E3326" s="153">
        <f>+(149000+220000)/2</f>
        <v>184500</v>
      </c>
      <c r="F3326" s="22" t="s">
        <v>1812</v>
      </c>
      <c r="G3326" s="317">
        <v>9</v>
      </c>
      <c r="H3326" s="267" t="s">
        <v>1813</v>
      </c>
      <c r="I3326" s="326">
        <v>1.04</v>
      </c>
      <c r="J3326" s="20"/>
      <c r="K3326" s="153">
        <f>+E3326*G3326*I3326</f>
        <v>1726920</v>
      </c>
      <c r="L3326" s="20" t="s">
        <v>10</v>
      </c>
      <c r="M3326" s="1146"/>
      <c r="N3326" s="1103"/>
      <c r="O3326"/>
      <c r="P3326" s="159"/>
      <c r="Q3326" s="147"/>
      <c r="R3326" s="149"/>
    </row>
    <row r="3327" spans="1:24" ht="30" customHeight="1">
      <c r="A3327" s="652"/>
      <c r="B3327" s="20"/>
      <c r="C3327" s="18"/>
      <c r="D3327" s="18"/>
      <c r="E3327" s="153"/>
      <c r="F3327" s="20"/>
      <c r="G3327" s="206"/>
      <c r="H3327" s="20"/>
      <c r="I3327" s="20"/>
      <c r="J3327" s="20" t="s">
        <v>311</v>
      </c>
      <c r="K3327" s="153">
        <f>AVERAGE(K3325:K3326)</f>
        <v>2590380</v>
      </c>
      <c r="L3327" s="20" t="s">
        <v>10</v>
      </c>
      <c r="M3327" s="1146"/>
      <c r="N3327" s="282"/>
      <c r="O3327"/>
      <c r="P3327" s="159"/>
      <c r="Q3327" s="147"/>
      <c r="R3327" s="149"/>
    </row>
    <row r="3328" spans="1:24" ht="30" customHeight="1">
      <c r="A3328" s="45"/>
      <c r="B3328" s="157"/>
      <c r="C3328" s="157"/>
      <c r="D3328" s="157"/>
      <c r="E3328" s="153"/>
      <c r="F3328" s="1174" t="s">
        <v>308</v>
      </c>
      <c r="G3328" s="1208" t="s">
        <v>309</v>
      </c>
      <c r="H3328" s="1208"/>
      <c r="I3328" s="1208"/>
      <c r="J3328" s="1208"/>
      <c r="K3328" s="123">
        <v>1.06</v>
      </c>
      <c r="L3328" s="10"/>
      <c r="M3328" s="1146"/>
      <c r="N3328" s="282"/>
      <c r="O3328"/>
      <c r="P3328" s="159"/>
      <c r="Q3328" s="147"/>
      <c r="R3328" s="149"/>
    </row>
    <row r="3329" spans="1:18" ht="30" customHeight="1">
      <c r="A3329" s="45"/>
      <c r="B3329" s="157"/>
      <c r="C3329" s="157"/>
      <c r="D3329" s="157"/>
      <c r="E3329" s="153"/>
      <c r="F3329" s="1175"/>
      <c r="G3329" s="1209" t="s">
        <v>310</v>
      </c>
      <c r="H3329" s="1209"/>
      <c r="I3329" s="1209"/>
      <c r="J3329" s="1209"/>
      <c r="K3329" s="123">
        <v>1.07</v>
      </c>
      <c r="L3329" s="10"/>
      <c r="M3329" s="1146"/>
      <c r="N3329" s="1103"/>
      <c r="O3329"/>
      <c r="P3329" s="159"/>
      <c r="Q3329" s="147"/>
      <c r="R3329" s="149"/>
    </row>
    <row r="3330" spans="1:18" ht="30" customHeight="1">
      <c r="A3330" s="45"/>
      <c r="B3330" s="20"/>
      <c r="C3330" s="18"/>
      <c r="D3330" s="18"/>
      <c r="E3330" s="18"/>
      <c r="F3330" s="18"/>
      <c r="G3330" s="18"/>
      <c r="H3330" s="18"/>
      <c r="I3330" s="18"/>
      <c r="J3330" s="20" t="s">
        <v>289</v>
      </c>
      <c r="K3330" s="23">
        <f>+K3327*K3328/K3329</f>
        <v>2566170.8411214952</v>
      </c>
      <c r="L3330" s="20" t="s">
        <v>10</v>
      </c>
      <c r="M3330" s="1146"/>
      <c r="N3330" s="1103"/>
      <c r="O3330"/>
      <c r="P3330" s="159"/>
      <c r="Q3330" s="147"/>
      <c r="R3330" s="149"/>
    </row>
    <row r="3331" spans="1:18" ht="30" customHeight="1" thickBot="1">
      <c r="A3331" s="45"/>
      <c r="B3331" s="20"/>
      <c r="C3331" s="18"/>
      <c r="D3331" s="18"/>
      <c r="E3331" s="18"/>
      <c r="F3331" s="18"/>
      <c r="G3331" s="160" t="s">
        <v>312</v>
      </c>
      <c r="H3331" s="18"/>
      <c r="I3331" s="18"/>
      <c r="J3331" s="139">
        <f>VLOOKUP(B3322,'Mil Cost Premiums for RUCs'!$A$4:$R$266,18,FALSE)</f>
        <v>1.1199953840399997</v>
      </c>
      <c r="K3331" s="23">
        <f>+K3330*J3331</f>
        <v>2874099.4967141179</v>
      </c>
      <c r="L3331" s="20" t="s">
        <v>10</v>
      </c>
      <c r="M3331" s="1146"/>
      <c r="N3331" s="1103"/>
      <c r="O3331"/>
      <c r="P3331" s="159"/>
      <c r="Q3331" s="147"/>
      <c r="R3331" s="149"/>
    </row>
    <row r="3332" spans="1:18" ht="30" customHeight="1" thickBot="1">
      <c r="A3332" s="1165"/>
      <c r="B3332" s="1166"/>
      <c r="C3332" s="1166"/>
      <c r="D3332" s="1166"/>
      <c r="E3332" s="1166"/>
      <c r="F3332" s="1166"/>
      <c r="G3332" s="1166"/>
      <c r="H3332" s="1166"/>
      <c r="I3332" s="1166"/>
      <c r="J3332" s="1166"/>
      <c r="K3332" s="1166"/>
      <c r="L3332" s="1167"/>
      <c r="M3332" s="1146"/>
      <c r="N3332" s="1103"/>
      <c r="O3332"/>
      <c r="P3332" s="159"/>
      <c r="Q3332" s="147"/>
      <c r="R3332" s="149"/>
    </row>
    <row r="3333" spans="1:18" ht="30" customHeight="1">
      <c r="A3333" s="27" t="s">
        <v>280</v>
      </c>
      <c r="B3333" s="82">
        <v>7514</v>
      </c>
      <c r="C3333" s="1197" t="s">
        <v>1815</v>
      </c>
      <c r="D3333" s="1198"/>
      <c r="E3333" s="74" t="s">
        <v>282</v>
      </c>
      <c r="F3333" s="75" t="s">
        <v>10</v>
      </c>
      <c r="G3333" s="181" t="s">
        <v>281</v>
      </c>
      <c r="H3333" s="701">
        <v>1</v>
      </c>
      <c r="I3333" s="74" t="s">
        <v>283</v>
      </c>
      <c r="J3333" s="1199" t="s">
        <v>2529</v>
      </c>
      <c r="K3333" s="1199"/>
      <c r="L3333" s="1200"/>
      <c r="M3333" s="1146"/>
      <c r="N3333" s="1103"/>
      <c r="O3333"/>
      <c r="P3333" s="159"/>
      <c r="Q3333" s="147"/>
      <c r="R3333" s="149"/>
    </row>
    <row r="3334" spans="1:18" ht="30" customHeight="1">
      <c r="A3334" s="37" t="s">
        <v>304</v>
      </c>
      <c r="B3334" s="1201" t="s">
        <v>330</v>
      </c>
      <c r="C3334" s="1202"/>
      <c r="D3334" s="1203"/>
      <c r="E3334" s="150" t="s">
        <v>295</v>
      </c>
      <c r="F3334" s="150" t="s">
        <v>331</v>
      </c>
      <c r="G3334" s="1661" t="s">
        <v>332</v>
      </c>
      <c r="H3334" s="1662"/>
      <c r="I3334" s="77" t="s">
        <v>305</v>
      </c>
      <c r="J3334" s="77"/>
      <c r="K3334" s="1303" t="s">
        <v>297</v>
      </c>
      <c r="L3334" s="1304"/>
      <c r="M3334" s="1146"/>
      <c r="N3334" s="1103"/>
      <c r="O3334" s="34"/>
      <c r="P3334" s="283"/>
      <c r="Q3334" s="282"/>
      <c r="R3334" s="284"/>
    </row>
    <row r="3335" spans="1:18" ht="30" customHeight="1">
      <c r="A3335" s="652" t="s">
        <v>1816</v>
      </c>
      <c r="B3335" s="1267" t="s">
        <v>1817</v>
      </c>
      <c r="C3335" s="1267"/>
      <c r="D3335" s="1267"/>
      <c r="E3335" s="153">
        <f>+(7000+10200)/2</f>
        <v>8600</v>
      </c>
      <c r="F3335" s="317" t="s">
        <v>1818</v>
      </c>
      <c r="G3335" s="317">
        <v>20</v>
      </c>
      <c r="H3335" s="252" t="s">
        <v>1819</v>
      </c>
      <c r="I3335" s="326">
        <v>1.04</v>
      </c>
      <c r="J3335" s="20"/>
      <c r="K3335" s="153">
        <f>+E3335*G3335*I3335</f>
        <v>178880</v>
      </c>
      <c r="L3335" s="20" t="s">
        <v>10</v>
      </c>
      <c r="M3335" s="1146"/>
      <c r="N3335" s="1103"/>
      <c r="O3335" s="34"/>
      <c r="P3335" s="283"/>
      <c r="Q3335" s="282"/>
      <c r="R3335" s="284"/>
    </row>
    <row r="3336" spans="1:18" ht="30" customHeight="1">
      <c r="A3336" s="45"/>
      <c r="B3336" s="157"/>
      <c r="C3336" s="157"/>
      <c r="D3336" s="157"/>
      <c r="E3336" s="153"/>
      <c r="F3336" s="1174" t="s">
        <v>308</v>
      </c>
      <c r="G3336" s="1208" t="s">
        <v>309</v>
      </c>
      <c r="H3336" s="1208"/>
      <c r="I3336" s="1208"/>
      <c r="J3336" s="1208"/>
      <c r="K3336" s="123">
        <v>1.06</v>
      </c>
      <c r="L3336" s="10"/>
      <c r="M3336" s="1146"/>
      <c r="N3336" s="1103"/>
      <c r="O3336"/>
      <c r="P3336" s="159"/>
      <c r="Q3336" s="147"/>
      <c r="R3336" s="149"/>
    </row>
    <row r="3337" spans="1:18" ht="30" customHeight="1">
      <c r="A3337" s="45"/>
      <c r="B3337" s="157"/>
      <c r="C3337" s="157"/>
      <c r="D3337" s="157"/>
      <c r="E3337" s="153"/>
      <c r="F3337" s="1175"/>
      <c r="G3337" s="1209" t="s">
        <v>310</v>
      </c>
      <c r="H3337" s="1209"/>
      <c r="I3337" s="1209"/>
      <c r="J3337" s="1209"/>
      <c r="K3337" s="123">
        <v>1.07</v>
      </c>
      <c r="L3337" s="10"/>
      <c r="M3337" s="1146"/>
      <c r="N3337" s="1103"/>
      <c r="O3337"/>
      <c r="P3337" s="159"/>
      <c r="Q3337" s="147"/>
      <c r="R3337" s="149"/>
    </row>
    <row r="3338" spans="1:18" ht="30" customHeight="1">
      <c r="A3338" s="45"/>
      <c r="B3338" s="20"/>
      <c r="C3338" s="18"/>
      <c r="D3338" s="18"/>
      <c r="E3338" s="18"/>
      <c r="F3338" s="18"/>
      <c r="G3338" s="18"/>
      <c r="H3338" s="18"/>
      <c r="I3338" s="18"/>
      <c r="J3338" s="20" t="s">
        <v>289</v>
      </c>
      <c r="K3338" s="23">
        <f>+K3335*K3336/K3337</f>
        <v>177208.22429906542</v>
      </c>
      <c r="L3338" s="20" t="s">
        <v>10</v>
      </c>
      <c r="M3338" s="1146"/>
      <c r="N3338" s="1103"/>
      <c r="O3338"/>
      <c r="P3338" s="159"/>
      <c r="Q3338" s="147"/>
      <c r="R3338" s="149"/>
    </row>
    <row r="3339" spans="1:18" ht="30" customHeight="1" thickBot="1">
      <c r="A3339" s="45"/>
      <c r="B3339" s="20"/>
      <c r="C3339" s="18"/>
      <c r="D3339" s="18"/>
      <c r="E3339" s="18"/>
      <c r="F3339" s="18"/>
      <c r="G3339" s="160" t="s">
        <v>312</v>
      </c>
      <c r="H3339" s="18"/>
      <c r="I3339" s="18"/>
      <c r="J3339" s="139">
        <f>VLOOKUP(B3333,'Mil Cost Premiums for RUCs'!$A$4:$R$266,18,FALSE)</f>
        <v>1.1199953840399997</v>
      </c>
      <c r="K3339" s="23">
        <f>+K3338*J3339</f>
        <v>198472.39322887818</v>
      </c>
      <c r="L3339" s="20" t="s">
        <v>10</v>
      </c>
      <c r="M3339" s="1146"/>
      <c r="N3339" s="1103"/>
      <c r="O3339"/>
      <c r="P3339" s="159"/>
      <c r="Q3339" s="147"/>
      <c r="R3339" s="149"/>
    </row>
    <row r="3340" spans="1:18" ht="30" customHeight="1" thickBot="1">
      <c r="A3340" s="1165"/>
      <c r="B3340" s="1166"/>
      <c r="C3340" s="1166"/>
      <c r="D3340" s="1166"/>
      <c r="E3340" s="1166"/>
      <c r="F3340" s="1166"/>
      <c r="G3340" s="1166"/>
      <c r="H3340" s="1166"/>
      <c r="I3340" s="1166"/>
      <c r="J3340" s="1166"/>
      <c r="K3340" s="1166"/>
      <c r="L3340" s="1167"/>
      <c r="M3340" s="1146"/>
      <c r="N3340" s="1103"/>
      <c r="O3340"/>
      <c r="P3340" s="159"/>
      <c r="Q3340" s="147"/>
      <c r="R3340" s="149"/>
    </row>
    <row r="3341" spans="1:18" ht="30" customHeight="1">
      <c r="A3341" s="27" t="s">
        <v>280</v>
      </c>
      <c r="B3341" s="82">
        <v>7515</v>
      </c>
      <c r="C3341" s="1197" t="s">
        <v>1820</v>
      </c>
      <c r="D3341" s="1198"/>
      <c r="E3341" s="74" t="s">
        <v>282</v>
      </c>
      <c r="F3341" s="75" t="s">
        <v>10</v>
      </c>
      <c r="G3341" s="181" t="s">
        <v>281</v>
      </c>
      <c r="H3341" s="701">
        <v>1</v>
      </c>
      <c r="I3341" s="74" t="s">
        <v>283</v>
      </c>
      <c r="J3341" s="1199" t="s">
        <v>2529</v>
      </c>
      <c r="K3341" s="1199"/>
      <c r="L3341" s="1200"/>
      <c r="M3341" s="1146"/>
      <c r="N3341" s="1103"/>
      <c r="O3341"/>
      <c r="P3341" s="159"/>
      <c r="Q3341" s="147"/>
      <c r="R3341" s="149"/>
    </row>
    <row r="3342" spans="1:18" ht="30" customHeight="1">
      <c r="A3342" s="37" t="s">
        <v>304</v>
      </c>
      <c r="B3342" s="1201" t="s">
        <v>330</v>
      </c>
      <c r="C3342" s="1202"/>
      <c r="D3342" s="1203"/>
      <c r="E3342" s="150" t="s">
        <v>295</v>
      </c>
      <c r="F3342" s="150" t="s">
        <v>331</v>
      </c>
      <c r="G3342" s="1204" t="s">
        <v>332</v>
      </c>
      <c r="H3342" s="1205"/>
      <c r="I3342" s="77" t="s">
        <v>305</v>
      </c>
      <c r="J3342" s="77"/>
      <c r="K3342" s="1303" t="s">
        <v>297</v>
      </c>
      <c r="L3342" s="1304"/>
      <c r="M3342" s="1146"/>
      <c r="N3342" s="1103"/>
      <c r="O3342"/>
      <c r="P3342" s="159"/>
      <c r="Q3342" s="147"/>
      <c r="R3342" s="149"/>
    </row>
    <row r="3343" spans="1:18" ht="30" customHeight="1">
      <c r="A3343" s="652" t="s">
        <v>1816</v>
      </c>
      <c r="B3343" s="1179" t="s">
        <v>1821</v>
      </c>
      <c r="C3343" s="1180"/>
      <c r="D3343" s="1181"/>
      <c r="E3343" s="153">
        <f>+(38300+54250)/2</f>
        <v>46275</v>
      </c>
      <c r="F3343" s="22" t="s">
        <v>1812</v>
      </c>
      <c r="G3343" s="317">
        <v>9</v>
      </c>
      <c r="H3343" s="267" t="s">
        <v>1813</v>
      </c>
      <c r="I3343" s="326">
        <v>1.04</v>
      </c>
      <c r="J3343" s="20"/>
      <c r="K3343" s="153">
        <f>+E3343*G3343*I3343</f>
        <v>433134</v>
      </c>
      <c r="L3343" s="20" t="s">
        <v>10</v>
      </c>
      <c r="M3343" s="1146"/>
      <c r="N3343" s="282"/>
      <c r="O3343"/>
      <c r="P3343" s="159"/>
      <c r="Q3343" s="147"/>
      <c r="R3343" s="149"/>
    </row>
    <row r="3344" spans="1:18" ht="30" customHeight="1">
      <c r="A3344" s="45"/>
      <c r="B3344" s="157"/>
      <c r="C3344" s="157"/>
      <c r="D3344" s="157"/>
      <c r="E3344" s="153"/>
      <c r="F3344" s="1174" t="s">
        <v>308</v>
      </c>
      <c r="G3344" s="1208" t="s">
        <v>309</v>
      </c>
      <c r="H3344" s="1208"/>
      <c r="I3344" s="1208"/>
      <c r="J3344" s="1208"/>
      <c r="K3344" s="123">
        <v>1.06</v>
      </c>
      <c r="L3344" s="10"/>
      <c r="M3344" s="1146"/>
      <c r="N3344" s="282"/>
      <c r="O3344"/>
      <c r="P3344" s="159"/>
      <c r="Q3344" s="147"/>
      <c r="R3344" s="149"/>
    </row>
    <row r="3345" spans="1:24" ht="30" customHeight="1">
      <c r="A3345" s="45"/>
      <c r="B3345" s="157"/>
      <c r="C3345" s="157"/>
      <c r="D3345" s="157"/>
      <c r="E3345" s="153"/>
      <c r="F3345" s="1175"/>
      <c r="G3345" s="1209" t="s">
        <v>310</v>
      </c>
      <c r="H3345" s="1209"/>
      <c r="I3345" s="1209"/>
      <c r="J3345" s="1209"/>
      <c r="K3345" s="123">
        <v>1.07</v>
      </c>
      <c r="L3345" s="10"/>
      <c r="M3345" s="1146"/>
      <c r="N3345" s="1103"/>
      <c r="O3345"/>
      <c r="P3345" s="159"/>
      <c r="Q3345" s="147"/>
      <c r="R3345" s="149"/>
    </row>
    <row r="3346" spans="1:24" ht="30" customHeight="1">
      <c r="A3346" s="652"/>
      <c r="B3346" s="317"/>
      <c r="C3346" s="476"/>
      <c r="D3346" s="715"/>
      <c r="E3346" s="153"/>
      <c r="F3346" s="521"/>
      <c r="G3346" s="363"/>
      <c r="H3346" s="267"/>
      <c r="I3346" s="267"/>
      <c r="J3346" s="20" t="s">
        <v>289</v>
      </c>
      <c r="K3346" s="23">
        <f>+K3343*K3344/K3345</f>
        <v>429086.01869158878</v>
      </c>
      <c r="L3346" s="20" t="s">
        <v>10</v>
      </c>
      <c r="M3346" s="1146"/>
      <c r="N3346" s="1103"/>
      <c r="O3346"/>
      <c r="P3346" s="159"/>
      <c r="Q3346" s="147"/>
      <c r="R3346" s="149"/>
    </row>
    <row r="3347" spans="1:24" ht="30" customHeight="1" thickBot="1">
      <c r="A3347" s="45"/>
      <c r="B3347" s="20"/>
      <c r="C3347" s="18"/>
      <c r="D3347" s="18"/>
      <c r="E3347" s="18"/>
      <c r="F3347" s="18"/>
      <c r="G3347" s="160" t="s">
        <v>312</v>
      </c>
      <c r="H3347" s="18"/>
      <c r="I3347" s="18"/>
      <c r="J3347" s="139">
        <f>VLOOKUP(B3341,'Mil Cost Premiums for RUCs'!$A$4:$R$266,18,FALSE)</f>
        <v>1.0905505199999999</v>
      </c>
      <c r="K3347" s="23">
        <f>+K3346*J3347</f>
        <v>467939.98080884182</v>
      </c>
      <c r="L3347" s="20" t="s">
        <v>10</v>
      </c>
      <c r="M3347" s="1146"/>
      <c r="N3347" s="193"/>
      <c r="O3347"/>
      <c r="P3347" s="159"/>
      <c r="Q3347" s="147"/>
      <c r="R3347" s="149"/>
    </row>
    <row r="3348" spans="1:24" ht="30" customHeight="1" thickBot="1">
      <c r="A3348" s="1165"/>
      <c r="B3348" s="1166"/>
      <c r="C3348" s="1166"/>
      <c r="D3348" s="1166"/>
      <c r="E3348" s="1166"/>
      <c r="F3348" s="1166"/>
      <c r="G3348" s="1166"/>
      <c r="H3348" s="1166"/>
      <c r="I3348" s="1166"/>
      <c r="J3348" s="1166"/>
      <c r="K3348" s="1166"/>
      <c r="L3348" s="1167"/>
      <c r="M3348" s="1146"/>
      <c r="N3348" s="193"/>
      <c r="O3348"/>
      <c r="P3348" s="159"/>
      <c r="Q3348" s="147"/>
      <c r="R3348" s="149"/>
    </row>
    <row r="3349" spans="1:24" ht="30" customHeight="1">
      <c r="A3349" s="27" t="s">
        <v>280</v>
      </c>
      <c r="B3349" s="82">
        <v>7517</v>
      </c>
      <c r="C3349" s="1197" t="s">
        <v>1822</v>
      </c>
      <c r="D3349" s="1198"/>
      <c r="E3349" s="74" t="s">
        <v>282</v>
      </c>
      <c r="F3349" s="75" t="s">
        <v>10</v>
      </c>
      <c r="G3349" s="181" t="s">
        <v>281</v>
      </c>
      <c r="H3349" s="701">
        <v>1</v>
      </c>
      <c r="I3349" s="74" t="s">
        <v>283</v>
      </c>
      <c r="J3349" s="1199" t="s">
        <v>2529</v>
      </c>
      <c r="K3349" s="1199"/>
      <c r="L3349" s="1200"/>
      <c r="M3349" s="1146"/>
      <c r="N3349" s="1103"/>
      <c r="O3349"/>
      <c r="P3349" s="159"/>
      <c r="Q3349" s="147"/>
      <c r="R3349" s="149"/>
      <c r="T3349" s="38"/>
      <c r="U3349" s="38"/>
      <c r="V3349" s="38"/>
      <c r="W3349" s="38"/>
      <c r="X3349" s="38"/>
    </row>
    <row r="3350" spans="1:24" s="38" customFormat="1" ht="30" customHeight="1">
      <c r="A3350" s="37" t="s">
        <v>304</v>
      </c>
      <c r="B3350" s="1201" t="s">
        <v>330</v>
      </c>
      <c r="C3350" s="1202"/>
      <c r="D3350" s="1203"/>
      <c r="E3350" s="150" t="s">
        <v>295</v>
      </c>
      <c r="F3350" s="150" t="s">
        <v>331</v>
      </c>
      <c r="G3350" s="1204" t="s">
        <v>332</v>
      </c>
      <c r="H3350" s="1205"/>
      <c r="I3350" s="77" t="s">
        <v>305</v>
      </c>
      <c r="J3350" s="77"/>
      <c r="K3350" s="1303" t="s">
        <v>297</v>
      </c>
      <c r="L3350" s="1304"/>
      <c r="M3350" s="1146"/>
      <c r="N3350" s="635"/>
      <c r="P3350" s="159"/>
      <c r="Q3350" s="147"/>
      <c r="R3350" s="149"/>
      <c r="T3350"/>
      <c r="U3350"/>
      <c r="V3350"/>
      <c r="W3350"/>
      <c r="X3350"/>
    </row>
    <row r="3351" spans="1:24" ht="30" customHeight="1">
      <c r="A3351" s="37"/>
      <c r="B3351" s="1179" t="s">
        <v>1823</v>
      </c>
      <c r="C3351" s="1180"/>
      <c r="D3351" s="1181"/>
      <c r="E3351" s="150"/>
      <c r="F3351" s="150"/>
      <c r="G3351" s="347"/>
      <c r="H3351" s="348"/>
      <c r="I3351" s="244"/>
      <c r="J3351" s="244"/>
      <c r="K3351" s="150"/>
      <c r="L3351" s="150"/>
      <c r="M3351" s="1146"/>
      <c r="N3351" s="635"/>
      <c r="O3351"/>
      <c r="P3351" s="159"/>
      <c r="Q3351" s="147"/>
      <c r="R3351" s="149"/>
    </row>
    <row r="3352" spans="1:24" ht="30" customHeight="1">
      <c r="A3352" s="652" t="s">
        <v>306</v>
      </c>
      <c r="B3352" s="1176" t="s">
        <v>1824</v>
      </c>
      <c r="C3352" s="1177"/>
      <c r="D3352" s="1178"/>
      <c r="E3352" s="153">
        <f>+(26.75+42.75)/2</f>
        <v>34.75</v>
      </c>
      <c r="F3352" s="22" t="s">
        <v>8</v>
      </c>
      <c r="G3352" s="317">
        <v>240</v>
      </c>
      <c r="H3352" s="267" t="s">
        <v>573</v>
      </c>
      <c r="I3352" s="326">
        <v>1.04</v>
      </c>
      <c r="J3352" s="20"/>
      <c r="K3352" s="153">
        <f>+E3352*G3352*I3352</f>
        <v>8673.6</v>
      </c>
      <c r="L3352" s="20" t="s">
        <v>10</v>
      </c>
      <c r="M3352" s="1146"/>
      <c r="N3352" s="1103"/>
      <c r="O3352"/>
      <c r="P3352" s="159"/>
      <c r="Q3352" s="147"/>
      <c r="R3352" s="149"/>
    </row>
    <row r="3353" spans="1:24" ht="30" customHeight="1">
      <c r="A3353" s="45"/>
      <c r="B3353" s="157"/>
      <c r="C3353" s="157"/>
      <c r="D3353" s="157"/>
      <c r="E3353" s="153"/>
      <c r="F3353" s="1174" t="s">
        <v>308</v>
      </c>
      <c r="G3353" s="1208" t="s">
        <v>309</v>
      </c>
      <c r="H3353" s="1208"/>
      <c r="I3353" s="1208"/>
      <c r="J3353" s="1208"/>
      <c r="K3353" s="123">
        <v>1.06</v>
      </c>
      <c r="L3353" s="10"/>
      <c r="M3353" s="1146"/>
      <c r="N3353" s="1103"/>
      <c r="O3353"/>
      <c r="P3353" s="159"/>
      <c r="Q3353" s="147"/>
      <c r="R3353" s="149"/>
    </row>
    <row r="3354" spans="1:24" ht="30" customHeight="1">
      <c r="A3354" s="45"/>
      <c r="B3354" s="157"/>
      <c r="C3354" s="157"/>
      <c r="D3354" s="157"/>
      <c r="E3354" s="153"/>
      <c r="F3354" s="1175"/>
      <c r="G3354" s="1209" t="s">
        <v>310</v>
      </c>
      <c r="H3354" s="1209"/>
      <c r="I3354" s="1209"/>
      <c r="J3354" s="1209"/>
      <c r="K3354" s="123">
        <v>1.07</v>
      </c>
      <c r="L3354" s="10"/>
      <c r="M3354" s="1146"/>
      <c r="N3354" s="1103"/>
    </row>
    <row r="3355" spans="1:24" ht="30" customHeight="1">
      <c r="A3355" s="652"/>
      <c r="B3355" s="317"/>
      <c r="C3355" s="476"/>
      <c r="D3355" s="715"/>
      <c r="E3355" s="153"/>
      <c r="F3355" s="521"/>
      <c r="G3355" s="363"/>
      <c r="H3355" s="267"/>
      <c r="I3355" s="267"/>
      <c r="J3355" s="20" t="s">
        <v>289</v>
      </c>
      <c r="K3355" s="23">
        <f>+K3352*K3353/K3354</f>
        <v>8592.5383177570111</v>
      </c>
      <c r="L3355" s="20" t="s">
        <v>10</v>
      </c>
      <c r="M3355" s="1146"/>
      <c r="N3355" s="1103"/>
      <c r="T3355" s="32"/>
      <c r="U3355" s="34"/>
    </row>
    <row r="3356" spans="1:24" ht="30" customHeight="1" thickBot="1">
      <c r="A3356" s="45"/>
      <c r="B3356" s="20"/>
      <c r="C3356" s="18"/>
      <c r="D3356" s="18"/>
      <c r="E3356" s="18"/>
      <c r="F3356" s="18"/>
      <c r="G3356" s="160" t="s">
        <v>312</v>
      </c>
      <c r="H3356" s="18"/>
      <c r="I3356" s="18"/>
      <c r="J3356" s="139">
        <f>VLOOKUP(B3349,'Mil Cost Premiums for RUCs'!$A$4:$R$266,18,FALSE)</f>
        <v>1.0209999999999999</v>
      </c>
      <c r="K3356" s="23">
        <f>+K3355*J3356</f>
        <v>8772.9816224299084</v>
      </c>
      <c r="L3356" s="20" t="s">
        <v>10</v>
      </c>
      <c r="M3356" s="1146"/>
      <c r="N3356" s="1103"/>
      <c r="O3356" s="33"/>
      <c r="P3356" s="32"/>
      <c r="Q3356" s="32"/>
      <c r="R3356" s="32"/>
      <c r="S3356" s="32"/>
      <c r="U3356" s="34"/>
    </row>
    <row r="3357" spans="1:24" ht="30" customHeight="1" thickBot="1">
      <c r="A3357" s="1165"/>
      <c r="B3357" s="1166"/>
      <c r="C3357" s="1166"/>
      <c r="D3357" s="1166"/>
      <c r="E3357" s="1166"/>
      <c r="F3357" s="1166"/>
      <c r="G3357" s="1166"/>
      <c r="H3357" s="1166"/>
      <c r="I3357" s="1166"/>
      <c r="J3357" s="1166"/>
      <c r="K3357" s="1166"/>
      <c r="L3357" s="1167"/>
      <c r="M3357" s="1146"/>
      <c r="N3357" s="1103"/>
      <c r="U3357" s="32"/>
      <c r="V3357" s="32"/>
      <c r="W3357" s="32"/>
      <c r="X3357" s="32"/>
    </row>
    <row r="3358" spans="1:24" s="32" customFormat="1" ht="30" customHeight="1">
      <c r="A3358" s="27" t="s">
        <v>280</v>
      </c>
      <c r="B3358" s="82">
        <v>7518</v>
      </c>
      <c r="C3358" s="1197" t="s">
        <v>1825</v>
      </c>
      <c r="D3358" s="1198"/>
      <c r="E3358" s="74" t="s">
        <v>282</v>
      </c>
      <c r="F3358" s="75" t="s">
        <v>10</v>
      </c>
      <c r="G3358" s="181" t="s">
        <v>281</v>
      </c>
      <c r="H3358" s="701">
        <v>1</v>
      </c>
      <c r="I3358" s="74" t="s">
        <v>283</v>
      </c>
      <c r="J3358" s="1199" t="s">
        <v>2529</v>
      </c>
      <c r="K3358" s="1199"/>
      <c r="L3358" s="1200"/>
      <c r="M3358" s="1146"/>
      <c r="N3358" s="1103"/>
      <c r="O3358" s="1119"/>
      <c r="P3358"/>
      <c r="Q3358"/>
      <c r="R3358"/>
      <c r="S3358"/>
      <c r="T3358" s="84"/>
      <c r="U3358" s="38"/>
      <c r="V3358" s="38"/>
      <c r="W3358" s="38"/>
      <c r="X3358" s="38"/>
    </row>
    <row r="3359" spans="1:24" s="38" customFormat="1" ht="30" customHeight="1">
      <c r="A3359" s="37" t="s">
        <v>304</v>
      </c>
      <c r="B3359" s="1201" t="s">
        <v>330</v>
      </c>
      <c r="C3359" s="1202"/>
      <c r="D3359" s="1203"/>
      <c r="E3359" s="150" t="s">
        <v>295</v>
      </c>
      <c r="F3359" s="150" t="s">
        <v>331</v>
      </c>
      <c r="G3359" s="1204" t="s">
        <v>332</v>
      </c>
      <c r="H3359" s="1205"/>
      <c r="I3359" s="77" t="s">
        <v>305</v>
      </c>
      <c r="J3359" s="77"/>
      <c r="K3359" s="1303" t="s">
        <v>297</v>
      </c>
      <c r="L3359" s="1304"/>
      <c r="M3359" s="1146"/>
      <c r="N3359" s="1103"/>
      <c r="O3359" s="1119"/>
      <c r="P3359" s="39"/>
      <c r="Q3359" s="39"/>
      <c r="R3359" s="39"/>
      <c r="S3359" s="84"/>
      <c r="T3359" s="44"/>
      <c r="U3359"/>
      <c r="V3359"/>
      <c r="W3359"/>
      <c r="X3359"/>
    </row>
    <row r="3360" spans="1:24" ht="30" customHeight="1">
      <c r="A3360" s="37"/>
      <c r="B3360" s="1176" t="s">
        <v>2935</v>
      </c>
      <c r="C3360" s="1177"/>
      <c r="D3360" s="1178"/>
      <c r="E3360" s="150"/>
      <c r="F3360" s="150"/>
      <c r="G3360" s="347"/>
      <c r="H3360" s="348"/>
      <c r="I3360" s="244"/>
      <c r="J3360" s="244"/>
      <c r="K3360" s="150"/>
      <c r="L3360" s="150"/>
      <c r="M3360" s="1146"/>
      <c r="N3360" s="1103"/>
      <c r="P3360" s="34"/>
      <c r="Q3360" s="34"/>
      <c r="R3360" s="34"/>
      <c r="S3360" s="44"/>
    </row>
    <row r="3361" spans="1:24" ht="30" customHeight="1">
      <c r="A3361" s="652" t="s">
        <v>306</v>
      </c>
      <c r="B3361" s="1179" t="s">
        <v>1826</v>
      </c>
      <c r="C3361" s="1180"/>
      <c r="D3361" s="1181"/>
      <c r="E3361" s="153">
        <f>+(6250+11500)/2</f>
        <v>8875</v>
      </c>
      <c r="F3361" s="22" t="s">
        <v>8</v>
      </c>
      <c r="G3361" s="317">
        <v>90</v>
      </c>
      <c r="H3361" s="267" t="s">
        <v>1827</v>
      </c>
      <c r="I3361" s="326">
        <v>1.04</v>
      </c>
      <c r="J3361" s="20"/>
      <c r="K3361" s="153">
        <f>+E3361*G3361*I3361</f>
        <v>830700</v>
      </c>
      <c r="L3361" s="20" t="s">
        <v>10</v>
      </c>
      <c r="M3361" s="1146"/>
      <c r="O3361"/>
      <c r="P3361" s="159"/>
      <c r="Q3361" s="147"/>
      <c r="R3361" s="149"/>
    </row>
    <row r="3362" spans="1:24" ht="30" customHeight="1">
      <c r="A3362" s="45"/>
      <c r="B3362" s="157"/>
      <c r="C3362" s="157"/>
      <c r="D3362" s="157"/>
      <c r="E3362" s="153"/>
      <c r="F3362" s="1174" t="s">
        <v>308</v>
      </c>
      <c r="G3362" s="1208" t="s">
        <v>309</v>
      </c>
      <c r="H3362" s="1208"/>
      <c r="I3362" s="1208"/>
      <c r="J3362" s="1208"/>
      <c r="K3362" s="123">
        <v>1.06</v>
      </c>
      <c r="L3362" s="10"/>
      <c r="M3362" s="1146"/>
      <c r="N3362" s="193"/>
      <c r="O3362"/>
      <c r="P3362" s="159"/>
      <c r="Q3362" s="147"/>
      <c r="R3362" s="149"/>
    </row>
    <row r="3363" spans="1:24" ht="30" customHeight="1">
      <c r="A3363" s="45"/>
      <c r="B3363" s="157"/>
      <c r="C3363" s="157"/>
      <c r="D3363" s="157"/>
      <c r="E3363" s="153"/>
      <c r="F3363" s="1175"/>
      <c r="G3363" s="1209" t="s">
        <v>310</v>
      </c>
      <c r="H3363" s="1209"/>
      <c r="I3363" s="1209"/>
      <c r="J3363" s="1209"/>
      <c r="K3363" s="123">
        <v>1.07</v>
      </c>
      <c r="L3363" s="10"/>
      <c r="M3363" s="1146"/>
      <c r="N3363" s="125"/>
      <c r="O3363"/>
      <c r="P3363" s="159"/>
      <c r="Q3363" s="147"/>
      <c r="R3363" s="149"/>
      <c r="T3363" s="38"/>
      <c r="U3363" s="38"/>
      <c r="V3363" s="38"/>
      <c r="W3363" s="38"/>
      <c r="X3363" s="38"/>
    </row>
    <row r="3364" spans="1:24" s="38" customFormat="1" ht="30" customHeight="1">
      <c r="A3364" s="652"/>
      <c r="B3364" s="317"/>
      <c r="C3364" s="476"/>
      <c r="D3364" s="715"/>
      <c r="E3364" s="153"/>
      <c r="F3364" s="521"/>
      <c r="G3364" s="363"/>
      <c r="H3364" s="267"/>
      <c r="I3364" s="20"/>
      <c r="J3364" s="18" t="s">
        <v>289</v>
      </c>
      <c r="K3364" s="23">
        <f>+K3361*K3362/K3363</f>
        <v>822936.44859813084</v>
      </c>
      <c r="L3364" s="20" t="s">
        <v>10</v>
      </c>
      <c r="M3364" s="1146"/>
      <c r="N3364" s="125"/>
      <c r="P3364" s="159"/>
      <c r="Q3364" s="147"/>
      <c r="R3364" s="149"/>
      <c r="T3364"/>
      <c r="U3364"/>
      <c r="V3364"/>
      <c r="W3364"/>
      <c r="X3364"/>
    </row>
    <row r="3365" spans="1:24" ht="30" customHeight="1" thickBot="1">
      <c r="A3365" s="45"/>
      <c r="B3365" s="20"/>
      <c r="C3365" s="18"/>
      <c r="D3365" s="18"/>
      <c r="E3365" s="18"/>
      <c r="F3365" s="18"/>
      <c r="G3365" s="160" t="s">
        <v>312</v>
      </c>
      <c r="H3365" s="18"/>
      <c r="I3365" s="18"/>
      <c r="J3365" s="139">
        <f>VLOOKUP(B3358,'Mil Cost Premiums for RUCs'!$A$4:$R$266,18,FALSE)</f>
        <v>1.1199953840399997</v>
      </c>
      <c r="K3365" s="23">
        <f>+K3364*J3365</f>
        <v>921685.02378817694</v>
      </c>
      <c r="L3365" s="20" t="s">
        <v>10</v>
      </c>
      <c r="M3365" s="1146"/>
      <c r="O3365"/>
      <c r="P3365" s="159"/>
      <c r="Q3365" s="147"/>
      <c r="R3365" s="149"/>
    </row>
    <row r="3366" spans="1:24" ht="30" customHeight="1" thickBot="1">
      <c r="A3366" s="1165"/>
      <c r="B3366" s="1166"/>
      <c r="C3366" s="1166"/>
      <c r="D3366" s="1166"/>
      <c r="E3366" s="1166"/>
      <c r="F3366" s="1166"/>
      <c r="G3366" s="1166"/>
      <c r="H3366" s="1166"/>
      <c r="I3366" s="1166"/>
      <c r="J3366" s="1166"/>
      <c r="K3366" s="1166"/>
      <c r="L3366" s="1167"/>
      <c r="M3366" s="1146"/>
      <c r="O3366"/>
      <c r="P3366" s="159"/>
      <c r="Q3366" s="147"/>
      <c r="R3366" s="149"/>
    </row>
    <row r="3367" spans="1:24" ht="30" customHeight="1">
      <c r="A3367" s="27" t="s">
        <v>280</v>
      </c>
      <c r="B3367" s="82">
        <v>7521</v>
      </c>
      <c r="C3367" s="1197" t="s">
        <v>1828</v>
      </c>
      <c r="D3367" s="1198"/>
      <c r="E3367" s="74" t="s">
        <v>282</v>
      </c>
      <c r="F3367" s="75" t="s">
        <v>10</v>
      </c>
      <c r="G3367" s="181" t="s">
        <v>281</v>
      </c>
      <c r="H3367" s="701">
        <v>1</v>
      </c>
      <c r="I3367" s="74" t="s">
        <v>283</v>
      </c>
      <c r="J3367" s="1199" t="s">
        <v>2529</v>
      </c>
      <c r="K3367" s="1199"/>
      <c r="L3367" s="1200"/>
      <c r="M3367" s="1146"/>
      <c r="N3367" s="125"/>
      <c r="O3367"/>
      <c r="P3367" s="159"/>
      <c r="Q3367" s="147"/>
      <c r="R3367" s="149"/>
    </row>
    <row r="3368" spans="1:24" ht="30" customHeight="1">
      <c r="A3368" s="37" t="s">
        <v>304</v>
      </c>
      <c r="B3368" s="1201" t="s">
        <v>330</v>
      </c>
      <c r="C3368" s="1202"/>
      <c r="D3368" s="1203"/>
      <c r="E3368" s="150" t="s">
        <v>295</v>
      </c>
      <c r="F3368" s="150" t="s">
        <v>331</v>
      </c>
      <c r="G3368" s="1204" t="s">
        <v>332</v>
      </c>
      <c r="H3368" s="1205"/>
      <c r="I3368" s="77" t="s">
        <v>305</v>
      </c>
      <c r="J3368" s="77"/>
      <c r="K3368" s="1303" t="s">
        <v>297</v>
      </c>
      <c r="L3368" s="1304"/>
      <c r="M3368" s="1146"/>
      <c r="N3368" s="657"/>
      <c r="O3368"/>
      <c r="P3368" s="159"/>
      <c r="Q3368" s="147"/>
      <c r="R3368" s="149"/>
    </row>
    <row r="3369" spans="1:24" ht="30" customHeight="1">
      <c r="A3369" s="37"/>
      <c r="B3369" s="1179" t="s">
        <v>1829</v>
      </c>
      <c r="C3369" s="1180"/>
      <c r="D3369" s="1181"/>
      <c r="E3369" s="150"/>
      <c r="F3369" s="150"/>
      <c r="G3369" s="347"/>
      <c r="H3369" s="348"/>
      <c r="I3369" s="244"/>
      <c r="J3369" s="244"/>
      <c r="K3369" s="150"/>
      <c r="L3369" s="150"/>
      <c r="M3369" s="1146"/>
      <c r="O3369"/>
      <c r="P3369" s="159"/>
      <c r="Q3369" s="147"/>
      <c r="R3369" s="149"/>
    </row>
    <row r="3370" spans="1:24" ht="30" customHeight="1">
      <c r="A3370" s="45" t="s">
        <v>1830</v>
      </c>
      <c r="B3370" s="1179" t="s">
        <v>2773</v>
      </c>
      <c r="C3370" s="1180"/>
      <c r="D3370" s="1181"/>
      <c r="E3370" s="349">
        <f>+(33600+52000)/2</f>
        <v>42800</v>
      </c>
      <c r="F3370" s="22" t="s">
        <v>10</v>
      </c>
      <c r="G3370" s="317"/>
      <c r="H3370" s="267"/>
      <c r="I3370" s="326">
        <v>1.04</v>
      </c>
      <c r="J3370" s="20"/>
      <c r="K3370" s="349">
        <f>+E3370*I3370</f>
        <v>44512</v>
      </c>
      <c r="L3370" s="22" t="s">
        <v>10</v>
      </c>
      <c r="M3370" s="1146"/>
      <c r="O3370"/>
      <c r="P3370" s="159"/>
      <c r="Q3370" s="147"/>
      <c r="R3370" s="149"/>
    </row>
    <row r="3371" spans="1:24" ht="30" customHeight="1">
      <c r="A3371" s="45" t="s">
        <v>1830</v>
      </c>
      <c r="B3371" s="207" t="s">
        <v>1831</v>
      </c>
      <c r="C3371" s="208"/>
      <c r="D3371" s="155"/>
      <c r="E3371" s="349">
        <f>+(10700+14700)/2</f>
        <v>12700</v>
      </c>
      <c r="F3371" s="22" t="s">
        <v>10</v>
      </c>
      <c r="G3371" s="716">
        <v>0.5</v>
      </c>
      <c r="H3371" s="267"/>
      <c r="I3371" s="326">
        <v>1.04</v>
      </c>
      <c r="J3371" s="20"/>
      <c r="K3371" s="349">
        <f>+I3371*G3371*E3371</f>
        <v>6604</v>
      </c>
      <c r="L3371" s="22" t="s">
        <v>10</v>
      </c>
      <c r="M3371" s="1146"/>
      <c r="O3371"/>
      <c r="P3371" s="159"/>
      <c r="Q3371" s="147"/>
      <c r="R3371" s="149"/>
    </row>
    <row r="3372" spans="1:24" ht="30" customHeight="1">
      <c r="A3372" s="45" t="s">
        <v>1830</v>
      </c>
      <c r="B3372" s="1179" t="s">
        <v>1832</v>
      </c>
      <c r="C3372" s="1180"/>
      <c r="D3372" s="1181"/>
      <c r="E3372" s="349">
        <f>+(9150+13600)/2</f>
        <v>11375</v>
      </c>
      <c r="F3372" s="22" t="s">
        <v>10</v>
      </c>
      <c r="G3372" s="317"/>
      <c r="H3372" s="267"/>
      <c r="I3372" s="326">
        <v>1.04</v>
      </c>
      <c r="J3372" s="20"/>
      <c r="K3372" s="349">
        <f>+E3372*I3372</f>
        <v>11830</v>
      </c>
      <c r="L3372" s="22" t="s">
        <v>10</v>
      </c>
      <c r="M3372" s="1146"/>
      <c r="N3372" s="55"/>
      <c r="O3372"/>
      <c r="P3372" s="159"/>
      <c r="Q3372" s="147"/>
      <c r="R3372" s="149"/>
    </row>
    <row r="3373" spans="1:24" ht="30" customHeight="1">
      <c r="A3373" s="653"/>
      <c r="B3373" s="1179" t="s">
        <v>1833</v>
      </c>
      <c r="C3373" s="1180"/>
      <c r="D3373" s="1181"/>
      <c r="E3373" s="349"/>
      <c r="F3373" s="22"/>
      <c r="G3373" s="317"/>
      <c r="H3373" s="267"/>
      <c r="I3373" s="20"/>
      <c r="J3373" s="20" t="s">
        <v>346</v>
      </c>
      <c r="K3373" s="349">
        <f>SUM(K3370:K3372)</f>
        <v>62946</v>
      </c>
      <c r="L3373" s="22" t="s">
        <v>10</v>
      </c>
      <c r="M3373" s="1146"/>
      <c r="N3373" s="1103"/>
      <c r="O3373"/>
      <c r="P3373" s="159"/>
      <c r="Q3373" s="147"/>
      <c r="R3373" s="149"/>
    </row>
    <row r="3374" spans="1:24" ht="30" customHeight="1">
      <c r="A3374" s="45" t="s">
        <v>1695</v>
      </c>
      <c r="B3374" s="1179" t="s">
        <v>2774</v>
      </c>
      <c r="C3374" s="1180"/>
      <c r="D3374" s="1181"/>
      <c r="E3374" s="349">
        <f>+(9.86+14.85)/2</f>
        <v>12.355</v>
      </c>
      <c r="F3374" s="22" t="s">
        <v>8</v>
      </c>
      <c r="G3374" s="350">
        <v>7980</v>
      </c>
      <c r="H3374" s="267" t="s">
        <v>573</v>
      </c>
      <c r="I3374" s="326">
        <v>1.04</v>
      </c>
      <c r="J3374" s="20"/>
      <c r="K3374" s="349">
        <f>+I3374*G3374*E3374</f>
        <v>102536.61600000001</v>
      </c>
      <c r="L3374" s="22" t="s">
        <v>10</v>
      </c>
      <c r="M3374" s="1146"/>
      <c r="N3374" s="1118"/>
      <c r="O3374"/>
      <c r="P3374" s="159"/>
      <c r="Q3374" s="147"/>
      <c r="R3374" s="149"/>
    </row>
    <row r="3375" spans="1:24" ht="30" customHeight="1">
      <c r="A3375" s="45" t="s">
        <v>1694</v>
      </c>
      <c r="B3375" s="1179" t="s">
        <v>1834</v>
      </c>
      <c r="C3375" s="1180"/>
      <c r="D3375" s="1181"/>
      <c r="E3375" s="349">
        <f>+(1110+3300)/2</f>
        <v>2205</v>
      </c>
      <c r="F3375" s="22" t="s">
        <v>10</v>
      </c>
      <c r="G3375" s="317">
        <v>2</v>
      </c>
      <c r="H3375" s="267" t="s">
        <v>1835</v>
      </c>
      <c r="I3375" s="326">
        <v>1.05</v>
      </c>
      <c r="J3375" s="20"/>
      <c r="K3375" s="349">
        <f>+I3375*G3375*E3375</f>
        <v>4630.5</v>
      </c>
      <c r="L3375" s="22" t="s">
        <v>10</v>
      </c>
      <c r="M3375" s="1146"/>
      <c r="N3375" s="1118"/>
      <c r="O3375" s="34"/>
      <c r="P3375" s="283"/>
      <c r="Q3375" s="282"/>
      <c r="R3375" s="284"/>
    </row>
    <row r="3376" spans="1:24" ht="30" customHeight="1">
      <c r="A3376" s="45"/>
      <c r="B3376" s="1176" t="s">
        <v>1836</v>
      </c>
      <c r="C3376" s="1177"/>
      <c r="D3376" s="1178"/>
      <c r="E3376" s="349"/>
      <c r="F3376" s="521"/>
      <c r="G3376" s="317"/>
      <c r="H3376" s="267"/>
      <c r="I3376" s="267"/>
      <c r="J3376" s="20" t="s">
        <v>346</v>
      </c>
      <c r="K3376" s="349">
        <f>(SUM(K3374:K3375)*2)*0.95</f>
        <v>203617.52040000001</v>
      </c>
      <c r="L3376" s="22" t="s">
        <v>10</v>
      </c>
      <c r="M3376" s="1146"/>
      <c r="N3376" s="1103"/>
      <c r="O3376" s="34"/>
      <c r="P3376" s="283"/>
      <c r="Q3376" s="282"/>
      <c r="R3376" s="284"/>
    </row>
    <row r="3377" spans="1:24" ht="30" customHeight="1">
      <c r="A3377" s="652"/>
      <c r="B3377" s="1267"/>
      <c r="C3377" s="1267"/>
      <c r="D3377" s="1267"/>
      <c r="E3377" s="153"/>
      <c r="F3377" s="20"/>
      <c r="G3377" s="206"/>
      <c r="H3377" s="20"/>
      <c r="I3377" s="20"/>
      <c r="J3377" s="20" t="s">
        <v>311</v>
      </c>
      <c r="K3377" s="353">
        <f>(+K3373+K3376)/2</f>
        <v>133281.76020000002</v>
      </c>
      <c r="L3377" s="20" t="s">
        <v>10</v>
      </c>
      <c r="M3377" s="1146"/>
      <c r="N3377" s="700"/>
      <c r="O3377" s="34"/>
      <c r="P3377" s="283"/>
      <c r="Q3377" s="282"/>
      <c r="R3377" s="284"/>
      <c r="T3377" s="32"/>
      <c r="U3377" s="34"/>
    </row>
    <row r="3378" spans="1:24" ht="30" customHeight="1">
      <c r="A3378" s="45"/>
      <c r="B3378" s="157"/>
      <c r="C3378" s="157"/>
      <c r="D3378" s="157"/>
      <c r="E3378" s="153"/>
      <c r="F3378" s="1174" t="s">
        <v>308</v>
      </c>
      <c r="G3378" s="1208" t="s">
        <v>309</v>
      </c>
      <c r="H3378" s="1208"/>
      <c r="I3378" s="1208"/>
      <c r="J3378" s="1208"/>
      <c r="K3378" s="123">
        <v>1.06</v>
      </c>
      <c r="L3378" s="10"/>
      <c r="M3378" s="1146"/>
      <c r="N3378" s="1103"/>
      <c r="O3378" s="33"/>
      <c r="P3378" s="32"/>
      <c r="Q3378" s="32"/>
      <c r="R3378" s="32"/>
      <c r="S3378" s="32"/>
      <c r="U3378" s="34"/>
    </row>
    <row r="3379" spans="1:24" ht="30" customHeight="1">
      <c r="A3379" s="45"/>
      <c r="B3379" s="157"/>
      <c r="C3379" s="157"/>
      <c r="D3379" s="157"/>
      <c r="E3379" s="153"/>
      <c r="F3379" s="1175"/>
      <c r="G3379" s="1209" t="s">
        <v>310</v>
      </c>
      <c r="H3379" s="1209"/>
      <c r="I3379" s="1209"/>
      <c r="J3379" s="1209"/>
      <c r="K3379" s="123">
        <v>1.07</v>
      </c>
      <c r="L3379" s="10"/>
      <c r="M3379" s="1146"/>
      <c r="N3379" s="1103"/>
      <c r="U3379" s="32"/>
      <c r="V3379" s="32"/>
      <c r="W3379" s="32"/>
      <c r="X3379" s="32"/>
    </row>
    <row r="3380" spans="1:24" s="32" customFormat="1" ht="30" customHeight="1">
      <c r="A3380" s="45"/>
      <c r="B3380" s="20"/>
      <c r="C3380" s="18"/>
      <c r="D3380" s="18"/>
      <c r="E3380" s="18"/>
      <c r="F3380" s="18"/>
      <c r="G3380" s="18"/>
      <c r="H3380" s="18"/>
      <c r="I3380" s="18"/>
      <c r="J3380" s="20" t="s">
        <v>289</v>
      </c>
      <c r="K3380" s="354">
        <f>+K3377*K3378/K3379</f>
        <v>132036.13627289722</v>
      </c>
      <c r="L3380" s="20" t="s">
        <v>10</v>
      </c>
      <c r="M3380" s="1146"/>
      <c r="N3380" s="1103"/>
      <c r="O3380" s="270"/>
      <c r="P3380" s="25"/>
      <c r="Q3380"/>
      <c r="R3380"/>
      <c r="S3380"/>
      <c r="T3380" s="84"/>
      <c r="U3380" s="38"/>
      <c r="V3380" s="38"/>
      <c r="W3380" s="38"/>
      <c r="X3380" s="38"/>
    </row>
    <row r="3381" spans="1:24" s="38" customFormat="1" ht="30" customHeight="1" thickBot="1">
      <c r="A3381" s="45"/>
      <c r="B3381" s="20"/>
      <c r="C3381" s="18"/>
      <c r="D3381" s="18"/>
      <c r="E3381" s="18"/>
      <c r="F3381" s="18"/>
      <c r="G3381" s="160" t="s">
        <v>312</v>
      </c>
      <c r="H3381" s="18"/>
      <c r="I3381" s="18"/>
      <c r="J3381" s="139">
        <f>VLOOKUP(B3367,'Mil Cost Premiums for RUCs'!$A$4:$R$266,18,FALSE)</f>
        <v>1.0209999999999999</v>
      </c>
      <c r="K3381" s="23">
        <f>+K3380*J3381</f>
        <v>134808.89513462805</v>
      </c>
      <c r="L3381" s="20" t="s">
        <v>10</v>
      </c>
      <c r="M3381" s="1146"/>
      <c r="N3381" s="1103"/>
      <c r="O3381" s="270"/>
      <c r="P3381" s="39"/>
      <c r="Q3381" s="39"/>
      <c r="R3381" s="39"/>
      <c r="S3381" s="84"/>
      <c r="T3381" s="44"/>
      <c r="U3381"/>
      <c r="V3381"/>
      <c r="W3381"/>
      <c r="X3381"/>
    </row>
    <row r="3382" spans="1:24" ht="30" customHeight="1" thickBot="1">
      <c r="A3382" s="1165"/>
      <c r="B3382" s="1166"/>
      <c r="C3382" s="1166"/>
      <c r="D3382" s="1166"/>
      <c r="E3382" s="1166"/>
      <c r="F3382" s="1166"/>
      <c r="G3382" s="1166"/>
      <c r="H3382" s="1166"/>
      <c r="I3382" s="1166"/>
      <c r="J3382" s="1166"/>
      <c r="K3382" s="1166"/>
      <c r="L3382" s="1167"/>
      <c r="M3382" s="1146"/>
      <c r="N3382" s="274"/>
      <c r="O3382" s="270"/>
      <c r="P3382" s="34"/>
      <c r="Q3382" s="34"/>
      <c r="R3382" s="34"/>
      <c r="S3382" s="44"/>
    </row>
    <row r="3383" spans="1:24" ht="30" customHeight="1">
      <c r="A3383" s="81" t="s">
        <v>280</v>
      </c>
      <c r="B3383" s="82">
        <v>7522</v>
      </c>
      <c r="C3383" s="1228" t="s">
        <v>1837</v>
      </c>
      <c r="D3383" s="1229"/>
      <c r="E3383" s="74" t="s">
        <v>282</v>
      </c>
      <c r="F3383" s="75" t="s">
        <v>10</v>
      </c>
      <c r="G3383" s="91" t="s">
        <v>1838</v>
      </c>
      <c r="H3383" s="104">
        <v>1</v>
      </c>
      <c r="I3383" s="74" t="s">
        <v>283</v>
      </c>
      <c r="J3383" s="1199" t="s">
        <v>2569</v>
      </c>
      <c r="K3383" s="1230"/>
      <c r="L3383" s="1231"/>
      <c r="M3383" s="1146"/>
      <c r="N3383" s="274"/>
      <c r="O3383" s="25"/>
      <c r="P3383" s="229"/>
      <c r="Q3383" s="147"/>
      <c r="R3383" s="149"/>
    </row>
    <row r="3384" spans="1:24" ht="30" customHeight="1">
      <c r="A3384" s="77" t="s">
        <v>293</v>
      </c>
      <c r="B3384" s="1232" t="s">
        <v>284</v>
      </c>
      <c r="C3384" s="1232"/>
      <c r="D3384" s="1232"/>
      <c r="E3384" s="96" t="s">
        <v>295</v>
      </c>
      <c r="F3384" s="77" t="s">
        <v>294</v>
      </c>
      <c r="G3384" s="1365" t="s">
        <v>332</v>
      </c>
      <c r="H3384" s="1366"/>
      <c r="I3384" s="1233" t="s">
        <v>426</v>
      </c>
      <c r="J3384" s="1234"/>
      <c r="K3384" s="1303" t="s">
        <v>297</v>
      </c>
      <c r="L3384" s="1304"/>
      <c r="M3384" s="1146"/>
      <c r="N3384" s="282"/>
      <c r="O3384" s="25"/>
      <c r="P3384" s="229"/>
      <c r="Q3384" s="147"/>
      <c r="R3384" s="149"/>
    </row>
    <row r="3385" spans="1:24" ht="30" customHeight="1">
      <c r="A3385" s="20">
        <v>75022</v>
      </c>
      <c r="B3385" s="1179" t="s">
        <v>1839</v>
      </c>
      <c r="C3385" s="1180"/>
      <c r="D3385" s="1181"/>
      <c r="E3385" s="153">
        <v>1200934</v>
      </c>
      <c r="F3385" s="316">
        <v>1</v>
      </c>
      <c r="G3385" s="529"/>
      <c r="H3385" s="286"/>
      <c r="I3385" s="1546">
        <f>+'2019 MILCON Inflation Table'!F18</f>
        <v>0.94232233454704462</v>
      </c>
      <c r="J3385" s="1547"/>
      <c r="K3385" s="106">
        <f>+E3385*I3385</f>
        <v>1131666.9305169205</v>
      </c>
      <c r="L3385" s="97" t="s">
        <v>10</v>
      </c>
      <c r="M3385" s="1146"/>
      <c r="N3385" s="1114"/>
      <c r="O3385" s="25"/>
      <c r="P3385" s="229"/>
      <c r="Q3385" s="147"/>
      <c r="R3385" s="149"/>
      <c r="T3385" s="38"/>
      <c r="U3385" s="38"/>
      <c r="V3385" s="38"/>
      <c r="W3385" s="38"/>
      <c r="X3385" s="38"/>
    </row>
    <row r="3386" spans="1:24" s="38" customFormat="1" ht="30" customHeight="1" thickBot="1">
      <c r="A3386" s="20"/>
      <c r="B3386" s="1179"/>
      <c r="C3386" s="1180"/>
      <c r="D3386" s="1181"/>
      <c r="E3386" s="181"/>
      <c r="F3386" s="338"/>
      <c r="G3386" s="181"/>
      <c r="H3386" s="339"/>
      <c r="I3386" s="18"/>
      <c r="J3386" s="18" t="s">
        <v>289</v>
      </c>
      <c r="K3386" s="107">
        <f>SUM(K3385:K3385)</f>
        <v>1131666.9305169205</v>
      </c>
      <c r="L3386" s="97" t="s">
        <v>10</v>
      </c>
      <c r="M3386" s="1146"/>
      <c r="N3386" s="282"/>
      <c r="P3386" s="159"/>
      <c r="Q3386" s="147"/>
      <c r="R3386" s="149"/>
      <c r="T3386"/>
      <c r="U3386"/>
      <c r="V3386"/>
      <c r="W3386"/>
      <c r="X3386"/>
    </row>
    <row r="3387" spans="1:24" ht="30" customHeight="1" thickBot="1">
      <c r="A3387" s="1165"/>
      <c r="B3387" s="1166"/>
      <c r="C3387" s="1166"/>
      <c r="D3387" s="1166"/>
      <c r="E3387" s="1166"/>
      <c r="F3387" s="1166"/>
      <c r="G3387" s="1166"/>
      <c r="H3387" s="1166"/>
      <c r="I3387" s="1166"/>
      <c r="J3387" s="1166"/>
      <c r="K3387" s="1166"/>
      <c r="L3387" s="1167"/>
      <c r="M3387" s="1146"/>
      <c r="N3387" s="1103"/>
      <c r="O3387"/>
      <c r="P3387" s="159"/>
      <c r="Q3387" s="147"/>
      <c r="R3387" s="149"/>
    </row>
    <row r="3388" spans="1:24" ht="30" customHeight="1">
      <c r="A3388" s="27" t="s">
        <v>280</v>
      </c>
      <c r="B3388" s="82">
        <v>7524</v>
      </c>
      <c r="C3388" s="1197" t="s">
        <v>1840</v>
      </c>
      <c r="D3388" s="1198"/>
      <c r="E3388" s="74" t="s">
        <v>282</v>
      </c>
      <c r="F3388" s="75" t="s">
        <v>10</v>
      </c>
      <c r="G3388" s="181" t="s">
        <v>281</v>
      </c>
      <c r="H3388" s="76">
        <v>1</v>
      </c>
      <c r="I3388" s="74" t="s">
        <v>283</v>
      </c>
      <c r="J3388" s="1199" t="s">
        <v>2529</v>
      </c>
      <c r="K3388" s="1199"/>
      <c r="L3388" s="1200"/>
      <c r="M3388" s="1146"/>
      <c r="N3388" s="1103"/>
      <c r="O3388"/>
      <c r="P3388" s="159"/>
      <c r="Q3388" s="147"/>
      <c r="R3388" s="149"/>
    </row>
    <row r="3389" spans="1:24" ht="30" customHeight="1">
      <c r="A3389" s="37" t="s">
        <v>304</v>
      </c>
      <c r="B3389" s="1201" t="s">
        <v>330</v>
      </c>
      <c r="C3389" s="1202"/>
      <c r="D3389" s="1203"/>
      <c r="E3389" s="150" t="s">
        <v>295</v>
      </c>
      <c r="F3389" s="150" t="s">
        <v>331</v>
      </c>
      <c r="G3389" s="1204" t="s">
        <v>332</v>
      </c>
      <c r="H3389" s="1205"/>
      <c r="I3389" s="77" t="s">
        <v>305</v>
      </c>
      <c r="J3389" s="77"/>
      <c r="K3389" s="1303" t="s">
        <v>297</v>
      </c>
      <c r="L3389" s="1304"/>
      <c r="M3389" s="1146"/>
      <c r="N3389" s="125"/>
      <c r="O3389"/>
      <c r="P3389" s="159"/>
      <c r="Q3389" s="147"/>
      <c r="R3389" s="149"/>
    </row>
    <row r="3390" spans="1:24" ht="30" customHeight="1">
      <c r="A3390" s="37"/>
      <c r="B3390" s="1179" t="s">
        <v>1841</v>
      </c>
      <c r="C3390" s="1180"/>
      <c r="D3390" s="1181"/>
      <c r="E3390" s="150"/>
      <c r="F3390" s="150"/>
      <c r="G3390" s="347"/>
      <c r="H3390" s="348"/>
      <c r="I3390" s="244"/>
      <c r="J3390" s="244"/>
      <c r="K3390" s="150"/>
      <c r="L3390" s="150"/>
      <c r="M3390" s="1146"/>
      <c r="N3390" s="193"/>
      <c r="O3390" s="34"/>
      <c r="P3390" s="283"/>
      <c r="Q3390" s="282"/>
      <c r="R3390" s="284"/>
    </row>
    <row r="3391" spans="1:24" ht="30" customHeight="1">
      <c r="A3391" s="652" t="s">
        <v>1842</v>
      </c>
      <c r="B3391" s="1176" t="s">
        <v>1843</v>
      </c>
      <c r="C3391" s="1177"/>
      <c r="D3391" s="1178"/>
      <c r="E3391" s="153">
        <f>+(89.5+201)/2</f>
        <v>145.25</v>
      </c>
      <c r="F3391" s="22" t="s">
        <v>1844</v>
      </c>
      <c r="G3391" s="717">
        <v>10000</v>
      </c>
      <c r="H3391" s="267" t="s">
        <v>1845</v>
      </c>
      <c r="I3391" s="326">
        <v>1.04</v>
      </c>
      <c r="J3391" s="20"/>
      <c r="K3391" s="153">
        <f>+E3391*G3391*I3391</f>
        <v>1510600</v>
      </c>
      <c r="L3391" s="20" t="s">
        <v>10</v>
      </c>
      <c r="M3391" s="1146"/>
      <c r="O3391" s="34"/>
      <c r="P3391" s="283"/>
      <c r="Q3391" s="282"/>
      <c r="R3391" s="284"/>
    </row>
    <row r="3392" spans="1:24" ht="30" customHeight="1">
      <c r="A3392" s="652" t="s">
        <v>1842</v>
      </c>
      <c r="B3392" s="1176" t="s">
        <v>1846</v>
      </c>
      <c r="C3392" s="1177"/>
      <c r="D3392" s="1178"/>
      <c r="E3392" s="153">
        <f>+(242+340)/2</f>
        <v>291</v>
      </c>
      <c r="F3392" s="22" t="s">
        <v>1844</v>
      </c>
      <c r="G3392" s="717">
        <v>10000</v>
      </c>
      <c r="H3392" s="267" t="s">
        <v>1845</v>
      </c>
      <c r="I3392" s="326">
        <v>1.04</v>
      </c>
      <c r="J3392" s="20"/>
      <c r="K3392" s="153">
        <f>+E3392*G3392*I3392</f>
        <v>3026400</v>
      </c>
      <c r="L3392" s="20" t="s">
        <v>10</v>
      </c>
      <c r="M3392" s="1146"/>
      <c r="O3392"/>
      <c r="P3392" s="159"/>
      <c r="Q3392" s="147"/>
      <c r="R3392" s="149"/>
    </row>
    <row r="3393" spans="1:24" ht="30" customHeight="1">
      <c r="A3393" s="652" t="s">
        <v>1842</v>
      </c>
      <c r="B3393" s="1176" t="s">
        <v>1847</v>
      </c>
      <c r="C3393" s="1180"/>
      <c r="D3393" s="1181"/>
      <c r="E3393" s="153">
        <f>+(329+448)/2</f>
        <v>388.5</v>
      </c>
      <c r="F3393" s="22" t="s">
        <v>1844</v>
      </c>
      <c r="G3393" s="717">
        <v>10000</v>
      </c>
      <c r="H3393" s="267" t="s">
        <v>1845</v>
      </c>
      <c r="I3393" s="326">
        <v>1.04</v>
      </c>
      <c r="J3393" s="20"/>
      <c r="K3393" s="153">
        <f>+E3393*G3393*I3393</f>
        <v>4040400</v>
      </c>
      <c r="L3393" s="20" t="s">
        <v>10</v>
      </c>
      <c r="M3393" s="1146"/>
      <c r="O3393"/>
      <c r="P3393" s="159"/>
      <c r="Q3393" s="147"/>
      <c r="R3393" s="149"/>
    </row>
    <row r="3394" spans="1:24" ht="30" customHeight="1">
      <c r="A3394" s="652"/>
      <c r="B3394" s="1267"/>
      <c r="C3394" s="1267"/>
      <c r="D3394" s="1267"/>
      <c r="E3394" s="153"/>
      <c r="F3394" s="20"/>
      <c r="G3394" s="20"/>
      <c r="H3394" s="20"/>
      <c r="I3394" s="20"/>
      <c r="J3394" s="20" t="s">
        <v>311</v>
      </c>
      <c r="K3394" s="212">
        <f>AVERAGE(K3391:K3393)</f>
        <v>2859133.3333333335</v>
      </c>
      <c r="L3394" s="20" t="s">
        <v>10</v>
      </c>
      <c r="M3394" s="1146"/>
      <c r="N3394" s="1103"/>
      <c r="O3394"/>
      <c r="P3394" s="159"/>
      <c r="Q3394" s="147"/>
      <c r="R3394" s="149"/>
    </row>
    <row r="3395" spans="1:24" ht="30" customHeight="1">
      <c r="A3395" s="45"/>
      <c r="B3395" s="157"/>
      <c r="C3395" s="157"/>
      <c r="D3395" s="157"/>
      <c r="E3395" s="153"/>
      <c r="F3395" s="1174" t="s">
        <v>308</v>
      </c>
      <c r="G3395" s="1208" t="s">
        <v>309</v>
      </c>
      <c r="H3395" s="1208"/>
      <c r="I3395" s="1208"/>
      <c r="J3395" s="1208"/>
      <c r="K3395" s="123">
        <v>1.06</v>
      </c>
      <c r="L3395" s="10"/>
      <c r="M3395" s="1146"/>
      <c r="N3395" s="1116"/>
      <c r="O3395"/>
      <c r="P3395" s="159"/>
      <c r="Q3395" s="147"/>
      <c r="R3395" s="149"/>
    </row>
    <row r="3396" spans="1:24" ht="30" customHeight="1">
      <c r="A3396" s="45"/>
      <c r="B3396" s="157"/>
      <c r="C3396" s="157"/>
      <c r="D3396" s="157"/>
      <c r="E3396" s="153"/>
      <c r="F3396" s="1175"/>
      <c r="G3396" s="1209" t="s">
        <v>310</v>
      </c>
      <c r="H3396" s="1209"/>
      <c r="I3396" s="1209"/>
      <c r="J3396" s="1209"/>
      <c r="K3396" s="123">
        <v>1.07</v>
      </c>
      <c r="L3396" s="10"/>
      <c r="M3396" s="1146"/>
      <c r="N3396" s="635"/>
      <c r="O3396"/>
      <c r="P3396" s="159"/>
      <c r="Q3396" s="147"/>
      <c r="R3396" s="149"/>
    </row>
    <row r="3397" spans="1:24" ht="30" customHeight="1">
      <c r="A3397" s="652"/>
      <c r="B3397" s="1267"/>
      <c r="C3397" s="1267"/>
      <c r="D3397" s="1267"/>
      <c r="E3397" s="153"/>
      <c r="F3397" s="20"/>
      <c r="G3397" s="20"/>
      <c r="H3397" s="20"/>
      <c r="I3397" s="20"/>
      <c r="J3397" s="20" t="s">
        <v>289</v>
      </c>
      <c r="K3397" s="153">
        <f>+K3394*K3395/K3396</f>
        <v>2832412.4610591899</v>
      </c>
      <c r="L3397" s="20" t="s">
        <v>10</v>
      </c>
      <c r="M3397" s="1146"/>
      <c r="N3397" s="635"/>
      <c r="O3397"/>
      <c r="P3397" s="159"/>
      <c r="Q3397" s="147"/>
      <c r="R3397" s="149"/>
    </row>
    <row r="3398" spans="1:24" ht="30" customHeight="1" thickBot="1">
      <c r="A3398" s="45"/>
      <c r="B3398" s="20"/>
      <c r="C3398" s="18"/>
      <c r="D3398" s="18"/>
      <c r="E3398" s="18"/>
      <c r="F3398" s="18"/>
      <c r="G3398" s="160" t="s">
        <v>312</v>
      </c>
      <c r="H3398" s="18"/>
      <c r="I3398" s="18"/>
      <c r="J3398" s="139">
        <f>VLOOKUP(B3388,'Mil Cost Premiums for RUCs'!$A$4:$R$266,18,FALSE)</f>
        <v>1.1199953840399997</v>
      </c>
      <c r="K3398" s="23">
        <f>+K3394*J3398</f>
        <v>3202216.1356882313</v>
      </c>
      <c r="L3398" s="20" t="s">
        <v>10</v>
      </c>
      <c r="M3398" s="1146"/>
      <c r="N3398" s="1103"/>
      <c r="O3398"/>
      <c r="P3398" s="159"/>
      <c r="Q3398" s="147"/>
      <c r="R3398" s="149"/>
    </row>
    <row r="3399" spans="1:24" ht="30" customHeight="1" thickBot="1">
      <c r="A3399" s="1165"/>
      <c r="B3399" s="1166"/>
      <c r="C3399" s="1166"/>
      <c r="D3399" s="1166"/>
      <c r="E3399" s="1166"/>
      <c r="F3399" s="1166"/>
      <c r="G3399" s="1166"/>
      <c r="H3399" s="1166"/>
      <c r="I3399" s="1166"/>
      <c r="J3399" s="1166"/>
      <c r="K3399" s="1166"/>
      <c r="L3399" s="1167"/>
      <c r="M3399" s="1146"/>
      <c r="N3399" s="282"/>
      <c r="O3399"/>
      <c r="P3399" s="159"/>
      <c r="Q3399" s="147"/>
      <c r="R3399" s="149"/>
    </row>
    <row r="3400" spans="1:24" ht="30" customHeight="1">
      <c r="A3400" s="27" t="s">
        <v>280</v>
      </c>
      <c r="B3400" s="82">
        <v>7531</v>
      </c>
      <c r="C3400" s="1197" t="s">
        <v>1848</v>
      </c>
      <c r="D3400" s="1198"/>
      <c r="E3400" s="74" t="s">
        <v>282</v>
      </c>
      <c r="F3400" s="75" t="s">
        <v>8</v>
      </c>
      <c r="G3400" s="58" t="s">
        <v>290</v>
      </c>
      <c r="H3400" s="76">
        <v>754</v>
      </c>
      <c r="I3400" s="74" t="s">
        <v>283</v>
      </c>
      <c r="J3400" s="1199" t="s">
        <v>2529</v>
      </c>
      <c r="K3400" s="1199"/>
      <c r="L3400" s="1200"/>
      <c r="M3400" s="1146"/>
      <c r="N3400" s="282"/>
      <c r="O3400"/>
      <c r="P3400" s="159"/>
      <c r="Q3400" s="147"/>
      <c r="R3400" s="149"/>
    </row>
    <row r="3401" spans="1:24" ht="30" customHeight="1">
      <c r="A3401" s="37" t="s">
        <v>304</v>
      </c>
      <c r="B3401" s="1201" t="s">
        <v>330</v>
      </c>
      <c r="C3401" s="1202"/>
      <c r="D3401" s="1203"/>
      <c r="E3401" s="150" t="s">
        <v>295</v>
      </c>
      <c r="F3401" s="150" t="s">
        <v>331</v>
      </c>
      <c r="G3401" s="1663" t="s">
        <v>332</v>
      </c>
      <c r="H3401" s="1664"/>
      <c r="I3401" s="77" t="s">
        <v>305</v>
      </c>
      <c r="J3401" s="77"/>
      <c r="K3401" s="1303" t="s">
        <v>297</v>
      </c>
      <c r="L3401" s="1304"/>
      <c r="M3401" s="1146"/>
      <c r="N3401" s="1103"/>
      <c r="O3401"/>
      <c r="P3401" s="159"/>
      <c r="Q3401" s="147"/>
      <c r="R3401" s="149"/>
    </row>
    <row r="3402" spans="1:24" ht="30" customHeight="1">
      <c r="A3402" s="45" t="s">
        <v>1849</v>
      </c>
      <c r="B3402" s="1179" t="s">
        <v>1850</v>
      </c>
      <c r="C3402" s="1180"/>
      <c r="D3402" s="1181"/>
      <c r="E3402" s="335">
        <v>88.5</v>
      </c>
      <c r="F3402" s="22" t="s">
        <v>8</v>
      </c>
      <c r="G3402" s="521"/>
      <c r="H3402" s="333"/>
      <c r="I3402" s="20">
        <v>1.08</v>
      </c>
      <c r="J3402" s="20"/>
      <c r="K3402" s="331">
        <f>+I3402*E3402</f>
        <v>95.580000000000013</v>
      </c>
      <c r="L3402" s="22" t="s">
        <v>8</v>
      </c>
      <c r="M3402" s="1146"/>
      <c r="N3402" s="1103"/>
      <c r="O3402"/>
      <c r="P3402" s="159"/>
      <c r="Q3402" s="147"/>
      <c r="R3402" s="149"/>
      <c r="T3402" s="32"/>
      <c r="U3402" s="34"/>
    </row>
    <row r="3403" spans="1:24" ht="30" customHeight="1">
      <c r="A3403" s="45"/>
      <c r="B3403" s="157"/>
      <c r="C3403" s="157"/>
      <c r="D3403" s="157"/>
      <c r="E3403" s="153"/>
      <c r="F3403" s="1174" t="s">
        <v>308</v>
      </c>
      <c r="G3403" s="1208" t="s">
        <v>309</v>
      </c>
      <c r="H3403" s="1208"/>
      <c r="I3403" s="1208"/>
      <c r="J3403" s="1208"/>
      <c r="K3403" s="123">
        <v>1.06</v>
      </c>
      <c r="L3403" s="10"/>
      <c r="M3403" s="1146"/>
      <c r="N3403" s="1103"/>
      <c r="O3403" s="33"/>
      <c r="P3403" s="32"/>
      <c r="Q3403" s="32"/>
      <c r="R3403" s="32"/>
      <c r="S3403" s="32"/>
      <c r="U3403" s="34"/>
    </row>
    <row r="3404" spans="1:24" ht="30" customHeight="1">
      <c r="A3404" s="45"/>
      <c r="B3404" s="157"/>
      <c r="C3404" s="157"/>
      <c r="D3404" s="157"/>
      <c r="E3404" s="153"/>
      <c r="F3404" s="1175"/>
      <c r="G3404" s="1209" t="s">
        <v>310</v>
      </c>
      <c r="H3404" s="1209"/>
      <c r="I3404" s="1209"/>
      <c r="J3404" s="1209"/>
      <c r="K3404" s="123">
        <v>1.07</v>
      </c>
      <c r="L3404" s="10"/>
      <c r="M3404" s="1146"/>
      <c r="N3404" s="1103"/>
      <c r="U3404" s="32"/>
      <c r="V3404" s="32"/>
      <c r="W3404" s="32"/>
      <c r="X3404" s="32"/>
    </row>
    <row r="3405" spans="1:24" s="32" customFormat="1" ht="30" customHeight="1">
      <c r="A3405" s="652"/>
      <c r="B3405" s="1179"/>
      <c r="C3405" s="1180"/>
      <c r="D3405" s="1181"/>
      <c r="E3405" s="153"/>
      <c r="F3405" s="22"/>
      <c r="G3405" s="317"/>
      <c r="H3405" s="267"/>
      <c r="I3405" s="20"/>
      <c r="J3405" s="20" t="s">
        <v>289</v>
      </c>
      <c r="K3405" s="23">
        <f>+K3402*K3403/K3404</f>
        <v>94.686728971962623</v>
      </c>
      <c r="L3405" s="20" t="s">
        <v>8</v>
      </c>
      <c r="M3405" s="1146"/>
      <c r="N3405" s="1103"/>
      <c r="O3405" s="1119"/>
      <c r="P3405"/>
      <c r="Q3405"/>
      <c r="R3405"/>
      <c r="S3405"/>
      <c r="T3405" s="84"/>
      <c r="U3405" s="38"/>
      <c r="V3405" s="38"/>
      <c r="W3405" s="38"/>
      <c r="X3405" s="38"/>
    </row>
    <row r="3406" spans="1:24" s="38" customFormat="1" ht="30" customHeight="1" thickBot="1">
      <c r="A3406" s="45"/>
      <c r="B3406" s="20"/>
      <c r="C3406" s="18"/>
      <c r="D3406" s="18"/>
      <c r="E3406" s="18"/>
      <c r="F3406" s="18"/>
      <c r="G3406" s="160" t="s">
        <v>312</v>
      </c>
      <c r="H3406" s="18"/>
      <c r="I3406" s="18"/>
      <c r="J3406" s="139">
        <f>VLOOKUP(B3400,'Mil Cost Premiums for RUCs'!$A$4:$R$266,18,FALSE)</f>
        <v>1.0209999999999999</v>
      </c>
      <c r="K3406" s="23">
        <f>+K3405*J3406</f>
        <v>96.675150280373828</v>
      </c>
      <c r="L3406" s="20" t="s">
        <v>8</v>
      </c>
      <c r="M3406" s="1146"/>
      <c r="N3406" s="1103"/>
      <c r="O3406" s="1119"/>
      <c r="P3406" s="39"/>
      <c r="Q3406" s="39"/>
      <c r="R3406" s="39"/>
      <c r="S3406" s="84"/>
      <c r="T3406" s="44"/>
      <c r="U3406"/>
      <c r="V3406"/>
      <c r="W3406"/>
      <c r="X3406"/>
    </row>
    <row r="3407" spans="1:24" ht="30" customHeight="1" thickBot="1">
      <c r="A3407" s="1165"/>
      <c r="B3407" s="1166"/>
      <c r="C3407" s="1166"/>
      <c r="D3407" s="1166"/>
      <c r="E3407" s="1166"/>
      <c r="F3407" s="1166"/>
      <c r="G3407" s="1166"/>
      <c r="H3407" s="1166"/>
      <c r="I3407" s="1166"/>
      <c r="J3407" s="1166"/>
      <c r="K3407" s="1166"/>
      <c r="L3407" s="1167"/>
      <c r="M3407" s="1146"/>
      <c r="N3407" s="1103"/>
      <c r="P3407" s="34"/>
      <c r="Q3407" s="34"/>
      <c r="R3407" s="34"/>
      <c r="S3407" s="44"/>
    </row>
    <row r="3408" spans="1:24" ht="30" customHeight="1">
      <c r="A3408" s="27" t="s">
        <v>280</v>
      </c>
      <c r="B3408" s="82">
        <v>7532</v>
      </c>
      <c r="C3408" s="1197" t="s">
        <v>1851</v>
      </c>
      <c r="D3408" s="1198"/>
      <c r="E3408" s="74" t="s">
        <v>282</v>
      </c>
      <c r="F3408" s="75" t="s">
        <v>10</v>
      </c>
      <c r="G3408" s="181" t="s">
        <v>281</v>
      </c>
      <c r="H3408" s="76">
        <v>1</v>
      </c>
      <c r="I3408" s="74" t="s">
        <v>283</v>
      </c>
      <c r="J3408" s="1199" t="s">
        <v>2529</v>
      </c>
      <c r="K3408" s="1199"/>
      <c r="L3408" s="1200"/>
      <c r="M3408" s="1146"/>
      <c r="N3408" s="1103"/>
      <c r="O3408"/>
      <c r="P3408" s="159"/>
      <c r="Q3408" s="147"/>
      <c r="R3408" s="149"/>
    </row>
    <row r="3409" spans="1:24" ht="30" customHeight="1">
      <c r="A3409" s="37" t="s">
        <v>304</v>
      </c>
      <c r="B3409" s="1201" t="s">
        <v>330</v>
      </c>
      <c r="C3409" s="1202"/>
      <c r="D3409" s="1203"/>
      <c r="E3409" s="150" t="s">
        <v>295</v>
      </c>
      <c r="F3409" s="150" t="s">
        <v>331</v>
      </c>
      <c r="G3409" s="1204" t="s">
        <v>332</v>
      </c>
      <c r="H3409" s="1205"/>
      <c r="I3409" s="77" t="s">
        <v>305</v>
      </c>
      <c r="J3409" s="77"/>
      <c r="K3409" s="1303" t="s">
        <v>297</v>
      </c>
      <c r="L3409" s="1304"/>
      <c r="M3409" s="1146"/>
      <c r="N3409" s="1103"/>
      <c r="O3409"/>
      <c r="P3409" s="159"/>
      <c r="Q3409" s="147"/>
      <c r="R3409" s="149"/>
    </row>
    <row r="3410" spans="1:24" ht="30" customHeight="1">
      <c r="A3410" s="45" t="s">
        <v>1852</v>
      </c>
      <c r="B3410" s="1179" t="s">
        <v>1853</v>
      </c>
      <c r="C3410" s="1180"/>
      <c r="D3410" s="1181"/>
      <c r="E3410" s="335">
        <v>1819</v>
      </c>
      <c r="F3410" s="22" t="s">
        <v>1854</v>
      </c>
      <c r="G3410" s="521">
        <v>75</v>
      </c>
      <c r="H3410" s="333" t="s">
        <v>1855</v>
      </c>
      <c r="I3410" s="326">
        <v>1.04</v>
      </c>
      <c r="J3410" s="326"/>
      <c r="K3410" s="331">
        <f>+E3410*G3410*I3410</f>
        <v>141882</v>
      </c>
      <c r="L3410" s="22" t="s">
        <v>10</v>
      </c>
      <c r="M3410" s="1146"/>
      <c r="N3410" s="1103"/>
      <c r="O3410"/>
      <c r="P3410" s="159"/>
      <c r="Q3410" s="147"/>
      <c r="R3410" s="149"/>
      <c r="T3410" s="38"/>
      <c r="U3410" s="38"/>
      <c r="V3410" s="38"/>
      <c r="W3410" s="38"/>
      <c r="X3410" s="38"/>
    </row>
    <row r="3411" spans="1:24" s="38" customFormat="1" ht="30" customHeight="1">
      <c r="A3411" s="652"/>
      <c r="B3411" s="1267" t="s">
        <v>1856</v>
      </c>
      <c r="C3411" s="1267"/>
      <c r="D3411" s="1267"/>
      <c r="E3411" s="153"/>
      <c r="F3411" s="20"/>
      <c r="G3411" s="20"/>
      <c r="H3411" s="20"/>
      <c r="I3411" s="20"/>
      <c r="J3411" s="20"/>
      <c r="K3411" s="153"/>
      <c r="L3411" s="20"/>
      <c r="M3411" s="1146"/>
      <c r="N3411" s="1103"/>
      <c r="P3411" s="159"/>
      <c r="Q3411" s="147"/>
      <c r="R3411" s="149"/>
      <c r="T3411"/>
      <c r="U3411"/>
      <c r="V3411"/>
      <c r="W3411"/>
      <c r="X3411"/>
    </row>
    <row r="3412" spans="1:24" ht="30" customHeight="1">
      <c r="A3412" s="45"/>
      <c r="B3412" s="157"/>
      <c r="C3412" s="157"/>
      <c r="D3412" s="157"/>
      <c r="E3412" s="153"/>
      <c r="F3412" s="1174" t="s">
        <v>308</v>
      </c>
      <c r="G3412" s="1208" t="s">
        <v>309</v>
      </c>
      <c r="H3412" s="1208"/>
      <c r="I3412" s="1208"/>
      <c r="J3412" s="1208"/>
      <c r="K3412" s="123">
        <v>1.06</v>
      </c>
      <c r="L3412" s="10"/>
      <c r="M3412" s="1146"/>
      <c r="N3412" s="1103"/>
      <c r="O3412"/>
      <c r="P3412" s="159"/>
      <c r="Q3412" s="147"/>
      <c r="R3412" s="149"/>
    </row>
    <row r="3413" spans="1:24" ht="30" customHeight="1">
      <c r="A3413" s="45"/>
      <c r="B3413" s="157"/>
      <c r="C3413" s="157"/>
      <c r="D3413" s="157"/>
      <c r="E3413" s="153"/>
      <c r="F3413" s="1175"/>
      <c r="G3413" s="1209" t="s">
        <v>310</v>
      </c>
      <c r="H3413" s="1209"/>
      <c r="I3413" s="1209"/>
      <c r="J3413" s="1209"/>
      <c r="K3413" s="123">
        <v>1.07</v>
      </c>
      <c r="L3413" s="10"/>
      <c r="M3413" s="1146"/>
      <c r="N3413" s="1103"/>
      <c r="O3413"/>
      <c r="P3413" s="159"/>
      <c r="Q3413" s="147"/>
      <c r="R3413" s="149"/>
    </row>
    <row r="3414" spans="1:24" ht="30" customHeight="1">
      <c r="A3414" s="45"/>
      <c r="B3414" s="20"/>
      <c r="C3414" s="18"/>
      <c r="D3414" s="18"/>
      <c r="E3414" s="18"/>
      <c r="F3414" s="18"/>
      <c r="G3414" s="18"/>
      <c r="H3414" s="18"/>
      <c r="I3414" s="18"/>
      <c r="J3414" s="20" t="s">
        <v>289</v>
      </c>
      <c r="K3414" s="23">
        <f>+K3410*K3412/K3413</f>
        <v>140556</v>
      </c>
      <c r="L3414" s="20" t="s">
        <v>10</v>
      </c>
      <c r="M3414" s="1146"/>
      <c r="N3414" s="125"/>
      <c r="O3414"/>
      <c r="P3414" s="159"/>
      <c r="Q3414" s="147"/>
      <c r="R3414" s="149"/>
    </row>
    <row r="3415" spans="1:24" ht="30" customHeight="1" thickBot="1">
      <c r="A3415" s="45"/>
      <c r="B3415" s="20"/>
      <c r="C3415" s="18"/>
      <c r="D3415" s="18"/>
      <c r="E3415" s="18"/>
      <c r="F3415" s="18"/>
      <c r="G3415" s="160" t="s">
        <v>312</v>
      </c>
      <c r="H3415" s="18"/>
      <c r="I3415" s="18"/>
      <c r="J3415" s="139">
        <f>VLOOKUP(B3408,'Mil Cost Premiums for RUCs'!$A$4:$R$266,18,FALSE)</f>
        <v>1.0485669999999998</v>
      </c>
      <c r="K3415" s="23">
        <f>+K3414*J3415</f>
        <v>147382.38325199997</v>
      </c>
      <c r="L3415" s="20" t="s">
        <v>10</v>
      </c>
      <c r="M3415" s="1146"/>
      <c r="N3415" s="193"/>
      <c r="O3415" s="34"/>
      <c r="P3415" s="283"/>
      <c r="Q3415" s="282"/>
      <c r="R3415" s="284"/>
    </row>
    <row r="3416" spans="1:24" ht="30" customHeight="1" thickBot="1">
      <c r="A3416" s="1165"/>
      <c r="B3416" s="1166"/>
      <c r="C3416" s="1166"/>
      <c r="D3416" s="1166"/>
      <c r="E3416" s="1166"/>
      <c r="F3416" s="1166"/>
      <c r="G3416" s="1166"/>
      <c r="H3416" s="1166"/>
      <c r="I3416" s="1166"/>
      <c r="J3416" s="1166"/>
      <c r="K3416" s="1166"/>
      <c r="L3416" s="1167"/>
      <c r="M3416" s="1146"/>
      <c r="N3416" s="1102"/>
      <c r="O3416" s="34"/>
      <c r="P3416" s="283"/>
      <c r="Q3416" s="282"/>
      <c r="R3416" s="284"/>
    </row>
    <row r="3417" spans="1:24" ht="30" customHeight="1">
      <c r="A3417" s="27" t="s">
        <v>280</v>
      </c>
      <c r="B3417" s="82">
        <v>7541</v>
      </c>
      <c r="C3417" s="1197" t="s">
        <v>1857</v>
      </c>
      <c r="D3417" s="1198"/>
      <c r="E3417" s="74" t="s">
        <v>282</v>
      </c>
      <c r="F3417" s="75" t="s">
        <v>10</v>
      </c>
      <c r="G3417" s="181" t="s">
        <v>281</v>
      </c>
      <c r="H3417" s="76">
        <v>1</v>
      </c>
      <c r="I3417" s="74" t="s">
        <v>283</v>
      </c>
      <c r="J3417" s="1199" t="s">
        <v>2529</v>
      </c>
      <c r="K3417" s="1199"/>
      <c r="L3417" s="1200"/>
      <c r="M3417" s="1146"/>
      <c r="O3417"/>
      <c r="P3417" s="159"/>
      <c r="Q3417" s="147"/>
      <c r="R3417" s="149"/>
    </row>
    <row r="3418" spans="1:24" ht="30" customHeight="1">
      <c r="A3418" s="37" t="s">
        <v>304</v>
      </c>
      <c r="B3418" s="1201" t="s">
        <v>330</v>
      </c>
      <c r="C3418" s="1202"/>
      <c r="D3418" s="1203"/>
      <c r="E3418" s="150" t="s">
        <v>295</v>
      </c>
      <c r="F3418" s="150" t="s">
        <v>331</v>
      </c>
      <c r="G3418" s="1204" t="s">
        <v>332</v>
      </c>
      <c r="H3418" s="1205"/>
      <c r="I3418" s="77" t="s">
        <v>305</v>
      </c>
      <c r="J3418" s="1083" t="s">
        <v>2775</v>
      </c>
      <c r="K3418" s="1303" t="s">
        <v>297</v>
      </c>
      <c r="L3418" s="1304"/>
      <c r="M3418" s="1146"/>
      <c r="O3418"/>
      <c r="P3418" s="159"/>
      <c r="Q3418" s="147"/>
      <c r="R3418" s="149"/>
    </row>
    <row r="3419" spans="1:24" ht="30" customHeight="1">
      <c r="A3419" s="45" t="s">
        <v>1858</v>
      </c>
      <c r="B3419" s="1176" t="s">
        <v>1859</v>
      </c>
      <c r="C3419" s="1177"/>
      <c r="D3419" s="1178"/>
      <c r="E3419" s="335">
        <v>7900</v>
      </c>
      <c r="F3419" s="22" t="s">
        <v>1860</v>
      </c>
      <c r="G3419" s="521">
        <v>40</v>
      </c>
      <c r="H3419" s="333" t="s">
        <v>1861</v>
      </c>
      <c r="I3419" s="326">
        <v>1.01</v>
      </c>
      <c r="J3419" s="20">
        <v>1.07</v>
      </c>
      <c r="K3419" s="331">
        <f>+E3419*G3419*I3419*J3419</f>
        <v>341501.2</v>
      </c>
      <c r="L3419" s="22" t="s">
        <v>10</v>
      </c>
      <c r="M3419" s="1146"/>
      <c r="N3419" s="657"/>
      <c r="O3419"/>
      <c r="P3419" s="159"/>
      <c r="Q3419" s="147"/>
      <c r="R3419" s="149"/>
    </row>
    <row r="3420" spans="1:24" ht="30" customHeight="1">
      <c r="A3420" s="45"/>
      <c r="B3420" s="157"/>
      <c r="C3420" s="157"/>
      <c r="D3420" s="157"/>
      <c r="E3420" s="153"/>
      <c r="F3420" s="1174" t="s">
        <v>308</v>
      </c>
      <c r="G3420" s="1208" t="s">
        <v>309</v>
      </c>
      <c r="H3420" s="1208"/>
      <c r="I3420" s="1208"/>
      <c r="J3420" s="1208"/>
      <c r="K3420" s="123">
        <v>1.06</v>
      </c>
      <c r="L3420" s="10"/>
      <c r="M3420" s="1146"/>
      <c r="N3420" s="1103"/>
      <c r="O3420"/>
      <c r="P3420" s="159"/>
      <c r="Q3420" s="147"/>
      <c r="R3420" s="149"/>
      <c r="T3420" s="38"/>
      <c r="U3420" s="38"/>
      <c r="V3420" s="38"/>
      <c r="W3420" s="38"/>
      <c r="X3420" s="38"/>
    </row>
    <row r="3421" spans="1:24" s="38" customFormat="1" ht="30" customHeight="1">
      <c r="A3421" s="45"/>
      <c r="B3421" s="157"/>
      <c r="C3421" s="157"/>
      <c r="D3421" s="157"/>
      <c r="E3421" s="153"/>
      <c r="F3421" s="1175"/>
      <c r="G3421" s="1209" t="s">
        <v>310</v>
      </c>
      <c r="H3421" s="1209"/>
      <c r="I3421" s="1209"/>
      <c r="J3421" s="1209"/>
      <c r="K3421" s="123">
        <v>1.07</v>
      </c>
      <c r="L3421" s="10"/>
      <c r="M3421" s="1146"/>
      <c r="N3421" s="1103"/>
      <c r="P3421" s="159"/>
      <c r="Q3421" s="147"/>
      <c r="R3421" s="149"/>
      <c r="T3421"/>
      <c r="U3421"/>
      <c r="V3421"/>
      <c r="W3421"/>
      <c r="X3421"/>
    </row>
    <row r="3422" spans="1:24" ht="30" customHeight="1">
      <c r="A3422" s="45"/>
      <c r="B3422" s="20"/>
      <c r="C3422" s="18"/>
      <c r="D3422" s="18"/>
      <c r="E3422" s="18"/>
      <c r="F3422" s="18"/>
      <c r="G3422" s="90"/>
      <c r="H3422" s="90"/>
      <c r="I3422" s="18"/>
      <c r="J3422" s="18" t="s">
        <v>289</v>
      </c>
      <c r="K3422" s="23">
        <f>K3419*K3420/K3421</f>
        <v>338309.60000000003</v>
      </c>
      <c r="L3422" s="20" t="s">
        <v>10</v>
      </c>
      <c r="M3422" s="1146"/>
      <c r="N3422" s="1103"/>
      <c r="O3422"/>
      <c r="P3422" s="159"/>
      <c r="Q3422" s="147"/>
      <c r="R3422" s="149"/>
    </row>
    <row r="3423" spans="1:24" ht="30" customHeight="1" thickBot="1">
      <c r="A3423" s="45"/>
      <c r="B3423" s="20"/>
      <c r="C3423" s="18"/>
      <c r="D3423" s="18"/>
      <c r="E3423" s="18"/>
      <c r="F3423" s="18"/>
      <c r="G3423" s="160" t="s">
        <v>312</v>
      </c>
      <c r="H3423" s="18"/>
      <c r="I3423" s="18"/>
      <c r="J3423" s="139">
        <f>VLOOKUP(B3417,'Mil Cost Premiums for RUCs'!$A$4:$R$266,18,FALSE)</f>
        <v>1.0485669999999998</v>
      </c>
      <c r="K3423" s="23">
        <f>+K3422*J3423</f>
        <v>354740.28234319994</v>
      </c>
      <c r="L3423" s="20"/>
      <c r="M3423" s="1146"/>
      <c r="N3423" s="1103"/>
      <c r="O3423" s="34"/>
      <c r="P3423" s="283"/>
      <c r="Q3423" s="282"/>
      <c r="R3423" s="284"/>
    </row>
    <row r="3424" spans="1:24" ht="30" customHeight="1" thickBot="1">
      <c r="A3424" s="1165"/>
      <c r="B3424" s="1166"/>
      <c r="C3424" s="1166"/>
      <c r="D3424" s="1166"/>
      <c r="E3424" s="1166"/>
      <c r="F3424" s="1166"/>
      <c r="G3424" s="1166"/>
      <c r="H3424" s="1166"/>
      <c r="I3424" s="1166"/>
      <c r="J3424" s="1166"/>
      <c r="K3424" s="1166"/>
      <c r="L3424" s="1167"/>
      <c r="M3424" s="1146"/>
      <c r="N3424" s="282"/>
      <c r="O3424" s="34"/>
      <c r="P3424" s="283"/>
      <c r="Q3424" s="282"/>
      <c r="R3424" s="284"/>
    </row>
    <row r="3425" spans="1:24" ht="30" customHeight="1">
      <c r="A3425" s="162" t="s">
        <v>280</v>
      </c>
      <c r="B3425" s="163">
        <v>7542</v>
      </c>
      <c r="C3425" s="1596" t="s">
        <v>1862</v>
      </c>
      <c r="D3425" s="1410"/>
      <c r="E3425" s="216" t="s">
        <v>282</v>
      </c>
      <c r="F3425" s="217" t="s">
        <v>10</v>
      </c>
      <c r="G3425" s="292" t="s">
        <v>1863</v>
      </c>
      <c r="H3425" s="245">
        <v>1</v>
      </c>
      <c r="I3425" s="216" t="s">
        <v>283</v>
      </c>
      <c r="J3425" s="1199" t="s">
        <v>2529</v>
      </c>
      <c r="K3425" s="1199"/>
      <c r="L3425" s="1200"/>
      <c r="M3425" s="1146"/>
      <c r="N3425" s="282"/>
      <c r="O3425"/>
      <c r="P3425" s="159"/>
      <c r="Q3425" s="147"/>
      <c r="R3425" s="149"/>
    </row>
    <row r="3426" spans="1:24" ht="30" customHeight="1">
      <c r="A3426" s="165" t="s">
        <v>304</v>
      </c>
      <c r="B3426" s="1324" t="s">
        <v>330</v>
      </c>
      <c r="C3426" s="1325"/>
      <c r="D3426" s="1326"/>
      <c r="E3426" s="219" t="s">
        <v>295</v>
      </c>
      <c r="F3426" s="219" t="s">
        <v>331</v>
      </c>
      <c r="G3426" s="1327" t="s">
        <v>332</v>
      </c>
      <c r="H3426" s="1328"/>
      <c r="I3426" s="167" t="s">
        <v>305</v>
      </c>
      <c r="J3426" s="167"/>
      <c r="K3426" s="1303" t="s">
        <v>297</v>
      </c>
      <c r="L3426" s="1304"/>
      <c r="M3426" s="1146"/>
      <c r="N3426" s="1103"/>
      <c r="O3426"/>
      <c r="P3426" s="159"/>
      <c r="Q3426" s="147"/>
      <c r="R3426" s="149"/>
    </row>
    <row r="3427" spans="1:24" ht="30" customHeight="1">
      <c r="A3427" s="10" t="s">
        <v>1830</v>
      </c>
      <c r="B3427" s="1162" t="s">
        <v>1864</v>
      </c>
      <c r="C3427" s="1163"/>
      <c r="D3427" s="1164"/>
      <c r="E3427" s="298">
        <f>+(33600+52000)/2+(9150+13600)/2+(10700+14700)/2+(1.33+4.76)/2*7200</f>
        <v>88799</v>
      </c>
      <c r="F3427" s="5" t="s">
        <v>10</v>
      </c>
      <c r="G3427" s="401"/>
      <c r="H3427" s="489"/>
      <c r="I3427" s="415">
        <v>1.04</v>
      </c>
      <c r="J3427" s="10"/>
      <c r="K3427" s="299">
        <f>+E3427*I3427</f>
        <v>92350.96</v>
      </c>
      <c r="L3427" s="5" t="s">
        <v>10</v>
      </c>
      <c r="M3427" s="1146"/>
      <c r="N3427" s="1103"/>
      <c r="O3427"/>
      <c r="P3427" s="159"/>
      <c r="Q3427" s="147"/>
      <c r="R3427" s="149"/>
    </row>
    <row r="3428" spans="1:24" ht="30" customHeight="1">
      <c r="A3428" s="10" t="s">
        <v>1816</v>
      </c>
      <c r="B3428" s="1182" t="s">
        <v>1865</v>
      </c>
      <c r="C3428" s="1183"/>
      <c r="D3428" s="1184"/>
      <c r="E3428" s="298">
        <f>+(6700+21100)/2</f>
        <v>13900</v>
      </c>
      <c r="F3428" s="5" t="s">
        <v>1812</v>
      </c>
      <c r="G3428" s="718">
        <v>18</v>
      </c>
      <c r="H3428" s="399" t="s">
        <v>1866</v>
      </c>
      <c r="I3428" s="415">
        <v>1.04</v>
      </c>
      <c r="J3428" s="10"/>
      <c r="K3428" s="299">
        <f>+E3428*G3428*I3428</f>
        <v>260208</v>
      </c>
      <c r="L3428" s="5" t="s">
        <v>10</v>
      </c>
      <c r="M3428" s="1146"/>
      <c r="N3428" s="1103"/>
      <c r="O3428"/>
      <c r="P3428" s="159"/>
      <c r="Q3428" s="147"/>
      <c r="R3428" s="149"/>
      <c r="T3428" s="38"/>
      <c r="U3428" s="38"/>
      <c r="V3428" s="38"/>
      <c r="W3428" s="38"/>
      <c r="X3428" s="38"/>
    </row>
    <row r="3429" spans="1:24" s="38" customFormat="1" ht="30" customHeight="1">
      <c r="A3429" s="10"/>
      <c r="B3429" s="1182" t="s">
        <v>1867</v>
      </c>
      <c r="C3429" s="1183"/>
      <c r="D3429" s="1184"/>
      <c r="E3429" s="298"/>
      <c r="F3429" s="5"/>
      <c r="G3429" s="401"/>
      <c r="H3429" s="399"/>
      <c r="I3429" s="10"/>
      <c r="J3429" s="10"/>
      <c r="K3429" s="299"/>
      <c r="L3429" s="5"/>
      <c r="M3429" s="1146"/>
      <c r="N3429" s="1103"/>
      <c r="P3429" s="159"/>
      <c r="Q3429" s="147"/>
      <c r="R3429" s="149"/>
      <c r="T3429"/>
      <c r="U3429"/>
      <c r="V3429"/>
      <c r="W3429"/>
      <c r="X3429"/>
    </row>
    <row r="3430" spans="1:24" ht="30" customHeight="1">
      <c r="A3430" s="10" t="s">
        <v>590</v>
      </c>
      <c r="B3430" s="1162" t="s">
        <v>1868</v>
      </c>
      <c r="C3430" s="1163"/>
      <c r="D3430" s="1164"/>
      <c r="E3430" s="298">
        <v>0.27</v>
      </c>
      <c r="F3430" s="5" t="s">
        <v>8</v>
      </c>
      <c r="G3430" s="398">
        <f>3.5*43560</f>
        <v>152460</v>
      </c>
      <c r="H3430" s="399" t="s">
        <v>1869</v>
      </c>
      <c r="I3430" s="489">
        <v>1.05</v>
      </c>
      <c r="J3430" s="10"/>
      <c r="K3430" s="299">
        <f>+E3430*G3430*I3430</f>
        <v>43222.41</v>
      </c>
      <c r="L3430" s="5"/>
      <c r="M3430" s="1146"/>
      <c r="N3430" s="1103"/>
      <c r="O3430"/>
      <c r="P3430" s="159"/>
      <c r="Q3430" s="147"/>
      <c r="R3430" s="149"/>
    </row>
    <row r="3431" spans="1:24" ht="30" customHeight="1">
      <c r="A3431" s="10" t="s">
        <v>590</v>
      </c>
      <c r="B3431" s="1182" t="s">
        <v>1870</v>
      </c>
      <c r="C3431" s="1183"/>
      <c r="D3431" s="1184"/>
      <c r="E3431" s="298">
        <v>0.4</v>
      </c>
      <c r="F3431" s="5" t="s">
        <v>8</v>
      </c>
      <c r="G3431" s="398">
        <f>3.5*43560</f>
        <v>152460</v>
      </c>
      <c r="H3431" s="399" t="s">
        <v>1869</v>
      </c>
      <c r="I3431" s="489">
        <v>1.05</v>
      </c>
      <c r="J3431" s="10"/>
      <c r="K3431" s="299">
        <f>+E3431*G3431*I3431</f>
        <v>64033.200000000004</v>
      </c>
      <c r="L3431" s="5"/>
      <c r="M3431" s="1146"/>
      <c r="N3431" s="1103"/>
      <c r="O3431"/>
      <c r="P3431" s="159"/>
      <c r="Q3431" s="147"/>
      <c r="R3431" s="149"/>
    </row>
    <row r="3432" spans="1:24" ht="30" customHeight="1">
      <c r="A3432" s="10" t="s">
        <v>1830</v>
      </c>
      <c r="B3432" s="1182" t="s">
        <v>1871</v>
      </c>
      <c r="C3432" s="1183"/>
      <c r="D3432" s="1184"/>
      <c r="E3432" s="719">
        <f>+(2925+4975)/2</f>
        <v>3950</v>
      </c>
      <c r="F3432" s="296" t="s">
        <v>10</v>
      </c>
      <c r="G3432" s="551"/>
      <c r="H3432" s="489"/>
      <c r="I3432" s="720">
        <v>1.04</v>
      </c>
      <c r="J3432" s="10"/>
      <c r="K3432" s="115">
        <f>+E3432*I3432</f>
        <v>4108</v>
      </c>
      <c r="L3432" s="5"/>
      <c r="M3432" s="1146"/>
      <c r="N3432" s="282"/>
      <c r="O3432"/>
      <c r="P3432" s="159"/>
      <c r="Q3432" s="147"/>
      <c r="R3432" s="149"/>
    </row>
    <row r="3433" spans="1:24" ht="30" customHeight="1">
      <c r="A3433" s="10" t="s">
        <v>1694</v>
      </c>
      <c r="B3433" s="1162" t="s">
        <v>1872</v>
      </c>
      <c r="C3433" s="1163"/>
      <c r="D3433" s="1164"/>
      <c r="E3433" s="721">
        <f>(3375+8750)/2</f>
        <v>6062.5</v>
      </c>
      <c r="F3433" s="296" t="s">
        <v>10</v>
      </c>
      <c r="G3433" s="551"/>
      <c r="H3433" s="489"/>
      <c r="I3433" s="720">
        <v>1.05</v>
      </c>
      <c r="J3433" s="10"/>
      <c r="K3433" s="299">
        <f>E3433*I3433</f>
        <v>6365.625</v>
      </c>
      <c r="L3433" s="5"/>
      <c r="M3433" s="1146"/>
      <c r="N3433" s="282"/>
      <c r="O3433" s="34"/>
      <c r="P3433" s="283"/>
      <c r="Q3433" s="282"/>
      <c r="R3433" s="284"/>
    </row>
    <row r="3434" spans="1:24" ht="30" customHeight="1">
      <c r="A3434" s="10" t="s">
        <v>1790</v>
      </c>
      <c r="B3434" s="1162" t="s">
        <v>1873</v>
      </c>
      <c r="C3434" s="1163"/>
      <c r="D3434" s="1164"/>
      <c r="E3434" s="719">
        <v>21.5</v>
      </c>
      <c r="F3434" s="296" t="s">
        <v>6</v>
      </c>
      <c r="G3434" s="551">
        <v>250</v>
      </c>
      <c r="H3434" s="489" t="s">
        <v>6</v>
      </c>
      <c r="I3434" s="489">
        <v>1.05</v>
      </c>
      <c r="J3434" s="10"/>
      <c r="K3434" s="299">
        <f>+E3434*G3434*I3434</f>
        <v>5643.75</v>
      </c>
      <c r="L3434" s="5"/>
      <c r="M3434" s="1146"/>
      <c r="N3434" s="1103"/>
      <c r="O3434" s="34"/>
      <c r="P3434" s="283"/>
      <c r="Q3434" s="282"/>
      <c r="R3434" s="284"/>
    </row>
    <row r="3435" spans="1:24" ht="30" customHeight="1">
      <c r="A3435" s="10" t="s">
        <v>1842</v>
      </c>
      <c r="B3435" s="1182" t="s">
        <v>1874</v>
      </c>
      <c r="C3435" s="1183"/>
      <c r="D3435" s="1184"/>
      <c r="E3435" s="298">
        <f>+(67+89.5)/2</f>
        <v>78.25</v>
      </c>
      <c r="F3435" s="5" t="s">
        <v>1844</v>
      </c>
      <c r="G3435" s="401">
        <v>600</v>
      </c>
      <c r="H3435" s="399" t="s">
        <v>1875</v>
      </c>
      <c r="I3435" s="415">
        <v>1.04</v>
      </c>
      <c r="J3435" s="10"/>
      <c r="K3435" s="299">
        <f>+E3435*G3435*I3435</f>
        <v>48828</v>
      </c>
      <c r="L3435" s="5"/>
      <c r="M3435" s="1146"/>
      <c r="N3435" s="1103"/>
      <c r="O3435" s="34"/>
      <c r="P3435" s="283"/>
      <c r="Q3435" s="282"/>
      <c r="R3435" s="284"/>
    </row>
    <row r="3436" spans="1:24" ht="30" customHeight="1">
      <c r="A3436" s="10"/>
      <c r="B3436" s="1182" t="s">
        <v>1876</v>
      </c>
      <c r="C3436" s="1183"/>
      <c r="D3436" s="1184"/>
      <c r="E3436" s="298"/>
      <c r="F3436" s="5"/>
      <c r="G3436" s="401"/>
      <c r="H3436" s="399"/>
      <c r="I3436" s="10"/>
      <c r="J3436" s="10"/>
      <c r="K3436" s="299">
        <f>SUM(K3430:K3435)</f>
        <v>172200.98500000002</v>
      </c>
      <c r="L3436" s="5" t="s">
        <v>10</v>
      </c>
      <c r="M3436" s="1146"/>
      <c r="N3436" s="1103"/>
      <c r="O3436" s="34"/>
      <c r="P3436" s="283"/>
      <c r="Q3436" s="282"/>
      <c r="R3436" s="284"/>
    </row>
    <row r="3437" spans="1:24" ht="30" customHeight="1">
      <c r="A3437" s="10"/>
      <c r="B3437" s="1182" t="s">
        <v>1877</v>
      </c>
      <c r="C3437" s="1183"/>
      <c r="D3437" s="1184"/>
      <c r="E3437" s="298"/>
      <c r="F3437" s="5"/>
      <c r="G3437" s="401"/>
      <c r="H3437" s="399"/>
      <c r="I3437" s="10"/>
      <c r="J3437" s="10"/>
      <c r="K3437" s="299"/>
      <c r="L3437" s="10"/>
      <c r="M3437" s="1146"/>
      <c r="N3437" s="1103"/>
      <c r="O3437"/>
      <c r="P3437" s="159"/>
      <c r="Q3437" s="147"/>
      <c r="R3437" s="149"/>
    </row>
    <row r="3438" spans="1:24" ht="30" customHeight="1">
      <c r="A3438" s="10" t="s">
        <v>590</v>
      </c>
      <c r="B3438" s="1182" t="s">
        <v>1878</v>
      </c>
      <c r="C3438" s="1183"/>
      <c r="D3438" s="1184"/>
      <c r="E3438" s="298">
        <v>0.4</v>
      </c>
      <c r="F3438" s="5" t="s">
        <v>8</v>
      </c>
      <c r="G3438" s="398">
        <v>57600</v>
      </c>
      <c r="H3438" s="5" t="s">
        <v>8</v>
      </c>
      <c r="I3438" s="10">
        <v>1.05</v>
      </c>
      <c r="J3438" s="10"/>
      <c r="K3438" s="299">
        <f>+E3438*G3438*I3438</f>
        <v>24192</v>
      </c>
      <c r="L3438" s="5" t="s">
        <v>10</v>
      </c>
      <c r="M3438" s="1146"/>
      <c r="N3438" s="1103"/>
      <c r="O3438"/>
      <c r="P3438" s="159"/>
      <c r="Q3438" s="147"/>
      <c r="R3438" s="149"/>
      <c r="U3438" s="32"/>
      <c r="V3438" s="32"/>
      <c r="W3438" s="32"/>
      <c r="X3438" s="32"/>
    </row>
    <row r="3439" spans="1:24" s="32" customFormat="1" ht="30" customHeight="1">
      <c r="A3439" s="10" t="s">
        <v>1694</v>
      </c>
      <c r="B3439" s="1182" t="s">
        <v>2776</v>
      </c>
      <c r="C3439" s="1183"/>
      <c r="D3439" s="1184"/>
      <c r="E3439" s="298">
        <f>(2625+6600)/2</f>
        <v>4612.5</v>
      </c>
      <c r="F3439" s="296" t="s">
        <v>10</v>
      </c>
      <c r="G3439" s="398"/>
      <c r="H3439" s="297"/>
      <c r="I3439" s="10">
        <v>1.05</v>
      </c>
      <c r="J3439" s="10"/>
      <c r="K3439" s="299">
        <f>E3439*I3439</f>
        <v>4843.125</v>
      </c>
      <c r="L3439" s="5" t="s">
        <v>10</v>
      </c>
      <c r="M3439" s="1146"/>
      <c r="N3439" s="1103"/>
      <c r="O3439" s="1119"/>
      <c r="P3439"/>
      <c r="Q3439"/>
      <c r="R3439"/>
      <c r="S3439"/>
      <c r="T3439" s="84"/>
      <c r="U3439" s="38"/>
      <c r="V3439" s="38"/>
      <c r="W3439" s="38"/>
      <c r="X3439" s="38"/>
    </row>
    <row r="3440" spans="1:24" s="38" customFormat="1" ht="30" customHeight="1">
      <c r="A3440" s="10"/>
      <c r="B3440" s="1182" t="s">
        <v>2777</v>
      </c>
      <c r="C3440" s="1183"/>
      <c r="D3440" s="1184"/>
      <c r="E3440" s="298"/>
      <c r="F3440" s="296"/>
      <c r="G3440" s="398"/>
      <c r="H3440" s="297"/>
      <c r="I3440" s="10"/>
      <c r="J3440" s="10"/>
      <c r="K3440" s="299">
        <f>SUM(K3438,K3439)</f>
        <v>29035.125</v>
      </c>
      <c r="L3440" s="5"/>
      <c r="M3440" s="1146"/>
      <c r="N3440" s="1103"/>
      <c r="O3440" s="1119"/>
      <c r="P3440" s="39"/>
      <c r="Q3440" s="39"/>
      <c r="R3440" s="39"/>
      <c r="S3440" s="84"/>
      <c r="T3440" s="44"/>
      <c r="U3440"/>
      <c r="V3440"/>
      <c r="W3440"/>
      <c r="X3440"/>
    </row>
    <row r="3441" spans="1:24" ht="30" customHeight="1">
      <c r="A3441" s="10"/>
      <c r="B3441" s="1182" t="s">
        <v>1879</v>
      </c>
      <c r="C3441" s="1183"/>
      <c r="D3441" s="1184"/>
      <c r="E3441" s="298"/>
      <c r="F3441" s="296"/>
      <c r="G3441" s="401"/>
      <c r="H3441" s="399"/>
      <c r="I3441" s="10"/>
      <c r="J3441" s="10"/>
      <c r="K3441" s="299"/>
      <c r="L3441" s="10"/>
      <c r="M3441" s="1146"/>
      <c r="N3441" s="1103"/>
      <c r="P3441" s="34"/>
      <c r="Q3441" s="34"/>
      <c r="R3441" s="34"/>
      <c r="S3441" s="44"/>
      <c r="T3441" s="44"/>
      <c r="U3441" s="34"/>
    </row>
    <row r="3442" spans="1:24" ht="30" customHeight="1">
      <c r="A3442" s="10" t="s">
        <v>590</v>
      </c>
      <c r="B3442" s="1182" t="s">
        <v>1878</v>
      </c>
      <c r="C3442" s="1183"/>
      <c r="D3442" s="1184"/>
      <c r="E3442" s="298">
        <v>0.4</v>
      </c>
      <c r="F3442" s="5" t="s">
        <v>8</v>
      </c>
      <c r="G3442" s="398">
        <v>75250</v>
      </c>
      <c r="H3442" s="5" t="s">
        <v>8</v>
      </c>
      <c r="I3442" s="10">
        <v>1.05</v>
      </c>
      <c r="J3442" s="10"/>
      <c r="K3442" s="299">
        <f>+E3442*G3442*I3442</f>
        <v>31605</v>
      </c>
      <c r="L3442" s="5" t="s">
        <v>10</v>
      </c>
      <c r="M3442" s="1146"/>
      <c r="N3442" s="282"/>
      <c r="P3442" s="34"/>
      <c r="Q3442" s="34"/>
      <c r="R3442" s="34"/>
      <c r="S3442" s="44"/>
      <c r="T3442" s="32"/>
      <c r="U3442" s="34"/>
    </row>
    <row r="3443" spans="1:24" ht="30" customHeight="1">
      <c r="A3443" s="10"/>
      <c r="B3443" s="1182" t="s">
        <v>1880</v>
      </c>
      <c r="C3443" s="1183"/>
      <c r="D3443" s="1184"/>
      <c r="E3443" s="298"/>
      <c r="F3443" s="296"/>
      <c r="G3443" s="398"/>
      <c r="H3443" s="399"/>
      <c r="I3443" s="10"/>
      <c r="J3443" s="10"/>
      <c r="K3443" s="299"/>
      <c r="L3443" s="5"/>
      <c r="M3443" s="1146"/>
      <c r="N3443" s="1114"/>
      <c r="O3443" s="33"/>
      <c r="P3443" s="32"/>
      <c r="Q3443" s="32"/>
      <c r="R3443" s="32"/>
      <c r="S3443" s="32"/>
    </row>
    <row r="3444" spans="1:24" ht="30" customHeight="1">
      <c r="A3444" s="10" t="s">
        <v>590</v>
      </c>
      <c r="B3444" s="1162" t="s">
        <v>1881</v>
      </c>
      <c r="C3444" s="1163"/>
      <c r="D3444" s="1164"/>
      <c r="E3444" s="722">
        <v>0.27</v>
      </c>
      <c r="F3444" s="5" t="s">
        <v>8</v>
      </c>
      <c r="G3444" s="398">
        <v>63360</v>
      </c>
      <c r="H3444" s="489" t="s">
        <v>334</v>
      </c>
      <c r="I3444" s="10">
        <v>1.05</v>
      </c>
      <c r="J3444" s="10"/>
      <c r="K3444" s="299">
        <f>+E3444*G3444*I3444</f>
        <v>17962.560000000001</v>
      </c>
      <c r="L3444" s="5" t="s">
        <v>10</v>
      </c>
      <c r="M3444" s="1146"/>
      <c r="N3444" s="282"/>
      <c r="O3444"/>
      <c r="P3444" s="159"/>
      <c r="Q3444" s="147"/>
      <c r="R3444" s="149"/>
      <c r="T3444" s="38"/>
      <c r="U3444" s="38"/>
      <c r="V3444" s="38"/>
      <c r="W3444" s="38"/>
      <c r="X3444" s="38"/>
    </row>
    <row r="3445" spans="1:24" s="38" customFormat="1" ht="30" customHeight="1">
      <c r="A3445" s="10" t="s">
        <v>590</v>
      </c>
      <c r="B3445" s="1162" t="s">
        <v>1882</v>
      </c>
      <c r="C3445" s="1163"/>
      <c r="D3445" s="1164"/>
      <c r="E3445" s="722">
        <v>0.41</v>
      </c>
      <c r="F3445" s="5" t="s">
        <v>8</v>
      </c>
      <c r="G3445" s="398">
        <v>63360</v>
      </c>
      <c r="H3445" s="489" t="s">
        <v>334</v>
      </c>
      <c r="I3445" s="10">
        <v>1.05</v>
      </c>
      <c r="J3445" s="10"/>
      <c r="K3445" s="299">
        <f>+E3445*G3445*I3445</f>
        <v>27276.48</v>
      </c>
      <c r="L3445" s="5" t="s">
        <v>10</v>
      </c>
      <c r="M3445" s="1146"/>
      <c r="N3445" s="282"/>
      <c r="P3445" s="159"/>
      <c r="Q3445" s="147"/>
      <c r="R3445" s="149"/>
      <c r="T3445"/>
      <c r="U3445"/>
      <c r="V3445"/>
      <c r="W3445"/>
      <c r="X3445"/>
    </row>
    <row r="3446" spans="1:24" ht="30" customHeight="1">
      <c r="A3446" s="10" t="s">
        <v>590</v>
      </c>
      <c r="B3446" s="1162" t="s">
        <v>1883</v>
      </c>
      <c r="C3446" s="1163"/>
      <c r="D3446" s="1164"/>
      <c r="E3446" s="722">
        <v>3.31</v>
      </c>
      <c r="F3446" s="5" t="s">
        <v>6</v>
      </c>
      <c r="G3446" s="398">
        <v>21120</v>
      </c>
      <c r="H3446" s="489" t="s">
        <v>450</v>
      </c>
      <c r="I3446" s="10">
        <v>1.05</v>
      </c>
      <c r="J3446" s="10"/>
      <c r="K3446" s="299">
        <f>+E3446*G3446*I3446</f>
        <v>73402.559999999998</v>
      </c>
      <c r="L3446" s="5" t="s">
        <v>10</v>
      </c>
      <c r="M3446" s="1146"/>
      <c r="N3446" s="1103"/>
      <c r="O3446"/>
      <c r="P3446" s="159"/>
      <c r="Q3446" s="147"/>
      <c r="R3446" s="149"/>
    </row>
    <row r="3447" spans="1:24" ht="30" customHeight="1">
      <c r="A3447" s="495"/>
      <c r="B3447" s="1665" t="s">
        <v>1884</v>
      </c>
      <c r="C3447" s="1666"/>
      <c r="D3447" s="1667"/>
      <c r="E3447" s="723"/>
      <c r="F3447" s="724"/>
      <c r="G3447" s="10"/>
      <c r="H3447" s="10"/>
      <c r="I3447" s="495">
        <v>1.05</v>
      </c>
      <c r="J3447" s="495"/>
      <c r="K3447" s="725">
        <f>SUM(K3444:K3446)</f>
        <v>118641.60000000001</v>
      </c>
      <c r="L3447" s="5" t="s">
        <v>10</v>
      </c>
      <c r="M3447" s="1146"/>
      <c r="N3447" s="1103"/>
      <c r="O3447"/>
      <c r="P3447" s="159"/>
      <c r="Q3447" s="147"/>
      <c r="R3447" s="149"/>
    </row>
    <row r="3448" spans="1:24" ht="30" customHeight="1">
      <c r="A3448" s="13"/>
      <c r="B3448" s="1285"/>
      <c r="C3448" s="1286"/>
      <c r="D3448" s="1287"/>
      <c r="E3448" s="13"/>
      <c r="F3448" s="13"/>
      <c r="G3448" s="13"/>
      <c r="H3448" s="13"/>
      <c r="I3448" s="1288" t="s">
        <v>1885</v>
      </c>
      <c r="J3448" s="1289"/>
      <c r="K3448" s="168">
        <f>+K3427+K3428+K3436+K3440+K3442+K3447</f>
        <v>704041.67</v>
      </c>
      <c r="L3448" s="5" t="s">
        <v>10</v>
      </c>
      <c r="M3448" s="1146"/>
      <c r="N3448" s="1103"/>
      <c r="O3448"/>
      <c r="P3448" s="159"/>
      <c r="Q3448" s="147"/>
      <c r="R3448" s="149"/>
    </row>
    <row r="3449" spans="1:24" ht="30" customHeight="1">
      <c r="A3449" s="726"/>
      <c r="B3449" s="1668" t="s">
        <v>1886</v>
      </c>
      <c r="C3449" s="1669"/>
      <c r="D3449" s="1670"/>
      <c r="E3449" s="299"/>
      <c r="F3449" s="5"/>
      <c r="G3449" s="727"/>
      <c r="H3449" s="5"/>
      <c r="I3449" s="1288" t="s">
        <v>1887</v>
      </c>
      <c r="J3449" s="1289"/>
      <c r="K3449" s="299">
        <f>+K3448/6</f>
        <v>117340.27833333334</v>
      </c>
      <c r="L3449" s="5" t="s">
        <v>10</v>
      </c>
      <c r="M3449" s="1146"/>
      <c r="N3449" s="1103"/>
      <c r="O3449" s="34"/>
      <c r="P3449" s="283"/>
      <c r="Q3449" s="282"/>
      <c r="R3449" s="284"/>
    </row>
    <row r="3450" spans="1:24" ht="30" customHeight="1">
      <c r="A3450" s="20"/>
      <c r="B3450" s="157"/>
      <c r="C3450" s="157"/>
      <c r="D3450" s="157"/>
      <c r="E3450" s="153"/>
      <c r="F3450" s="1174" t="s">
        <v>308</v>
      </c>
      <c r="G3450" s="1208" t="s">
        <v>309</v>
      </c>
      <c r="H3450" s="1208"/>
      <c r="I3450" s="1208"/>
      <c r="J3450" s="1208"/>
      <c r="K3450" s="123">
        <v>1.06</v>
      </c>
      <c r="L3450" s="10"/>
      <c r="M3450" s="1146"/>
      <c r="O3450" s="34"/>
      <c r="P3450" s="283"/>
      <c r="Q3450" s="282"/>
      <c r="R3450" s="284"/>
    </row>
    <row r="3451" spans="1:24" ht="30" customHeight="1">
      <c r="A3451" s="20"/>
      <c r="B3451" s="157"/>
      <c r="C3451" s="157"/>
      <c r="D3451" s="157"/>
      <c r="E3451" s="153"/>
      <c r="F3451" s="1175"/>
      <c r="G3451" s="1209" t="s">
        <v>310</v>
      </c>
      <c r="H3451" s="1209"/>
      <c r="I3451" s="1209"/>
      <c r="J3451" s="1209"/>
      <c r="K3451" s="123">
        <v>1.07</v>
      </c>
      <c r="L3451" s="10"/>
      <c r="M3451" s="1146"/>
      <c r="O3451"/>
      <c r="P3451" s="159"/>
      <c r="Q3451" s="147"/>
      <c r="R3451" s="149"/>
    </row>
    <row r="3452" spans="1:24" ht="30" customHeight="1">
      <c r="A3452" s="10"/>
      <c r="B3452" s="728"/>
      <c r="C3452" s="729"/>
      <c r="D3452" s="730"/>
      <c r="E3452" s="13"/>
      <c r="F3452" s="13"/>
      <c r="G3452" s="13"/>
      <c r="H3452" s="13"/>
      <c r="I3452" s="13"/>
      <c r="J3452" s="118" t="s">
        <v>289</v>
      </c>
      <c r="K3452" s="731">
        <f>+K3449*K3450/K3451</f>
        <v>116243.64021806853</v>
      </c>
      <c r="L3452" s="118" t="s">
        <v>10</v>
      </c>
      <c r="M3452" s="1146"/>
      <c r="O3452"/>
      <c r="P3452" s="159"/>
      <c r="Q3452" s="147"/>
      <c r="R3452" s="149"/>
    </row>
    <row r="3453" spans="1:24" ht="30" customHeight="1">
      <c r="A3453" s="10"/>
      <c r="B3453" s="732"/>
      <c r="C3453" s="733"/>
      <c r="D3453" s="734"/>
      <c r="E3453" s="13"/>
      <c r="F3453" s="13"/>
      <c r="G3453" s="235" t="s">
        <v>385</v>
      </c>
      <c r="H3453" s="13"/>
      <c r="I3453" s="13"/>
      <c r="J3453" s="139">
        <f>VLOOKUP(B3425,'Mil Cost Premiums for RUCs'!$A$4:$R$266,18,FALSE)</f>
        <v>1.0485669999999998</v>
      </c>
      <c r="K3453" s="731">
        <f>+K3452*J3453</f>
        <v>121889.24509253944</v>
      </c>
      <c r="L3453" s="118" t="s">
        <v>10</v>
      </c>
      <c r="M3453" s="1146"/>
      <c r="O3453"/>
      <c r="P3453" s="159"/>
      <c r="Q3453" s="147"/>
      <c r="R3453" s="149"/>
    </row>
    <row r="3454" spans="1:24" ht="60" customHeight="1">
      <c r="A3454" s="1337" t="s">
        <v>313</v>
      </c>
      <c r="B3454" s="1338"/>
      <c r="C3454" s="1338"/>
      <c r="D3454" s="1338"/>
      <c r="E3454" s="1338"/>
      <c r="F3454" s="1338"/>
      <c r="G3454" s="1338"/>
      <c r="H3454" s="1338"/>
      <c r="I3454" s="1338"/>
      <c r="J3454" s="1338"/>
      <c r="K3454" s="1338"/>
      <c r="L3454" s="1339"/>
      <c r="M3454" s="1146"/>
      <c r="N3454" s="968"/>
      <c r="O3454"/>
      <c r="P3454" s="159"/>
      <c r="Q3454" s="147"/>
      <c r="R3454" s="149"/>
      <c r="T3454" s="38"/>
      <c r="U3454" s="38"/>
      <c r="V3454" s="38"/>
      <c r="W3454" s="38"/>
      <c r="X3454" s="38"/>
    </row>
    <row r="3455" spans="1:24" s="38" customFormat="1" ht="30" customHeight="1">
      <c r="A3455" s="1406" t="s">
        <v>314</v>
      </c>
      <c r="B3455" s="1407"/>
      <c r="C3455" s="1408"/>
      <c r="D3455" s="1336" t="s">
        <v>1888</v>
      </c>
      <c r="E3455" s="1315"/>
      <c r="F3455" s="1315"/>
      <c r="G3455" s="1315"/>
      <c r="H3455" s="1315"/>
      <c r="I3455" s="1315"/>
      <c r="J3455" s="1315"/>
      <c r="K3455" s="1315"/>
      <c r="L3455" s="1316"/>
      <c r="M3455" s="1146"/>
      <c r="N3455" s="1103"/>
      <c r="P3455" s="159"/>
      <c r="Q3455" s="147"/>
      <c r="R3455" s="149"/>
      <c r="T3455"/>
      <c r="U3455"/>
      <c r="V3455"/>
      <c r="W3455"/>
      <c r="X3455"/>
    </row>
    <row r="3456" spans="1:24" ht="30" customHeight="1">
      <c r="A3456" s="1362" t="s">
        <v>316</v>
      </c>
      <c r="B3456" s="1363"/>
      <c r="C3456" s="1364"/>
      <c r="D3456" s="1336" t="s">
        <v>2778</v>
      </c>
      <c r="E3456" s="1315"/>
      <c r="F3456" s="1315"/>
      <c r="G3456" s="1315"/>
      <c r="H3456" s="1315"/>
      <c r="I3456" s="1315"/>
      <c r="J3456" s="1315"/>
      <c r="K3456" s="1315"/>
      <c r="L3456" s="1316"/>
      <c r="M3456" s="1146"/>
      <c r="N3456" s="1103"/>
      <c r="O3456"/>
      <c r="P3456" s="159"/>
      <c r="Q3456" s="147"/>
      <c r="R3456" s="149"/>
    </row>
    <row r="3457" spans="1:24" ht="30" customHeight="1">
      <c r="A3457" s="1406" t="s">
        <v>317</v>
      </c>
      <c r="B3457" s="1407"/>
      <c r="C3457" s="1408"/>
      <c r="D3457" s="1336" t="s">
        <v>2779</v>
      </c>
      <c r="E3457" s="1315"/>
      <c r="F3457" s="1315"/>
      <c r="G3457" s="1315"/>
      <c r="H3457" s="1315"/>
      <c r="I3457" s="1315"/>
      <c r="J3457" s="1315"/>
      <c r="K3457" s="1315"/>
      <c r="L3457" s="1316"/>
      <c r="M3457" s="1146"/>
      <c r="N3457" s="1103"/>
      <c r="O3457"/>
      <c r="P3457" s="159"/>
      <c r="Q3457" s="147"/>
      <c r="R3457" s="149"/>
    </row>
    <row r="3458" spans="1:24" ht="30" customHeight="1">
      <c r="A3458" s="1406" t="s">
        <v>318</v>
      </c>
      <c r="B3458" s="1407"/>
      <c r="C3458" s="1408"/>
      <c r="D3458" s="1336" t="s">
        <v>1889</v>
      </c>
      <c r="E3458" s="1315"/>
      <c r="F3458" s="1315"/>
      <c r="G3458" s="1315"/>
      <c r="H3458" s="1315"/>
      <c r="I3458" s="1315"/>
      <c r="J3458" s="1315"/>
      <c r="K3458" s="1315"/>
      <c r="L3458" s="1316"/>
      <c r="M3458" s="1146"/>
      <c r="N3458" s="282"/>
      <c r="O3458"/>
      <c r="P3458" s="159"/>
      <c r="Q3458" s="147"/>
      <c r="R3458" s="149"/>
    </row>
    <row r="3459" spans="1:24" ht="30" customHeight="1">
      <c r="A3459" s="1406" t="s">
        <v>320</v>
      </c>
      <c r="B3459" s="1407"/>
      <c r="C3459" s="1408"/>
      <c r="D3459" s="1336" t="s">
        <v>1890</v>
      </c>
      <c r="E3459" s="1315"/>
      <c r="F3459" s="1315"/>
      <c r="G3459" s="1315"/>
      <c r="H3459" s="1315"/>
      <c r="I3459" s="1315"/>
      <c r="J3459" s="1315"/>
      <c r="K3459" s="1315"/>
      <c r="L3459" s="1316"/>
      <c r="M3459" s="1146"/>
      <c r="N3459" s="282"/>
      <c r="O3459" s="34"/>
      <c r="P3459" s="283"/>
      <c r="Q3459" s="282"/>
      <c r="R3459" s="284"/>
    </row>
    <row r="3460" spans="1:24" ht="30" customHeight="1">
      <c r="A3460" s="1406" t="s">
        <v>322</v>
      </c>
      <c r="B3460" s="1407"/>
      <c r="C3460" s="1408"/>
      <c r="D3460" s="1336" t="s">
        <v>1891</v>
      </c>
      <c r="E3460" s="1315"/>
      <c r="F3460" s="1315"/>
      <c r="G3460" s="1315"/>
      <c r="H3460" s="1315"/>
      <c r="I3460" s="1315"/>
      <c r="J3460" s="1315"/>
      <c r="K3460" s="1315"/>
      <c r="L3460" s="1316"/>
      <c r="M3460" s="1146"/>
      <c r="N3460" s="1103"/>
      <c r="O3460" s="34"/>
      <c r="P3460" s="283"/>
      <c r="Q3460" s="282"/>
      <c r="R3460" s="284"/>
    </row>
    <row r="3461" spans="1:24" ht="30" customHeight="1">
      <c r="A3461" s="1406" t="s">
        <v>324</v>
      </c>
      <c r="B3461" s="1407"/>
      <c r="C3461" s="1408"/>
      <c r="D3461" s="1336" t="s">
        <v>1892</v>
      </c>
      <c r="E3461" s="1315"/>
      <c r="F3461" s="1315"/>
      <c r="G3461" s="1315"/>
      <c r="H3461" s="1315"/>
      <c r="I3461" s="1315"/>
      <c r="J3461" s="1315"/>
      <c r="K3461" s="1315"/>
      <c r="L3461" s="1316"/>
      <c r="M3461" s="1146"/>
      <c r="N3461" s="1103"/>
      <c r="O3461"/>
      <c r="P3461" s="159"/>
      <c r="Q3461" s="147"/>
      <c r="R3461" s="149"/>
    </row>
    <row r="3462" spans="1:24" ht="45" customHeight="1">
      <c r="A3462" s="1406" t="s">
        <v>325</v>
      </c>
      <c r="B3462" s="1407"/>
      <c r="C3462" s="1408"/>
      <c r="D3462" s="1270" t="s">
        <v>1363</v>
      </c>
      <c r="E3462" s="1371"/>
      <c r="F3462" s="1371"/>
      <c r="G3462" s="1371"/>
      <c r="H3462" s="1371"/>
      <c r="I3462" s="1371"/>
      <c r="J3462" s="1371"/>
      <c r="K3462" s="1371"/>
      <c r="L3462" s="1372"/>
      <c r="M3462" s="1146"/>
      <c r="N3462" s="1103"/>
      <c r="O3462"/>
      <c r="P3462" s="159"/>
      <c r="Q3462" s="147"/>
      <c r="R3462" s="149"/>
    </row>
    <row r="3463" spans="1:24" ht="150" customHeight="1" thickBot="1">
      <c r="A3463" s="1602" t="s">
        <v>327</v>
      </c>
      <c r="B3463" s="1603"/>
      <c r="C3463" s="1604"/>
      <c r="D3463" s="1336" t="s">
        <v>2780</v>
      </c>
      <c r="E3463" s="1315"/>
      <c r="F3463" s="1315"/>
      <c r="G3463" s="1315"/>
      <c r="H3463" s="1315"/>
      <c r="I3463" s="1315"/>
      <c r="J3463" s="1315"/>
      <c r="K3463" s="1315"/>
      <c r="L3463" s="1316"/>
      <c r="M3463" s="1146"/>
      <c r="N3463" s="1103"/>
      <c r="O3463"/>
      <c r="P3463" s="159"/>
      <c r="Q3463" s="147"/>
      <c r="R3463" s="149"/>
    </row>
    <row r="3464" spans="1:24" ht="30" customHeight="1" thickBot="1">
      <c r="A3464" s="1165"/>
      <c r="B3464" s="1166"/>
      <c r="C3464" s="1166"/>
      <c r="D3464" s="1166"/>
      <c r="E3464" s="1166"/>
      <c r="F3464" s="1166"/>
      <c r="G3464" s="1166"/>
      <c r="H3464" s="1166"/>
      <c r="I3464" s="1166"/>
      <c r="J3464" s="1166"/>
      <c r="K3464" s="1166"/>
      <c r="L3464" s="1167"/>
      <c r="M3464" s="1146"/>
      <c r="N3464" s="1103"/>
      <c r="O3464"/>
      <c r="P3464" s="159"/>
      <c r="Q3464" s="147"/>
      <c r="R3464" s="149"/>
      <c r="T3464" s="38"/>
      <c r="U3464" s="38"/>
      <c r="V3464" s="38"/>
      <c r="W3464" s="38"/>
      <c r="X3464" s="38"/>
    </row>
    <row r="3465" spans="1:24" s="38" customFormat="1" ht="30" customHeight="1">
      <c r="A3465" s="27" t="s">
        <v>280</v>
      </c>
      <c r="B3465" s="82">
        <v>7601</v>
      </c>
      <c r="C3465" s="1197" t="s">
        <v>1893</v>
      </c>
      <c r="D3465" s="1198"/>
      <c r="E3465" s="74" t="s">
        <v>282</v>
      </c>
      <c r="F3465" s="75" t="s">
        <v>8</v>
      </c>
      <c r="G3465" s="58" t="s">
        <v>290</v>
      </c>
      <c r="H3465" s="76">
        <v>14850</v>
      </c>
      <c r="I3465" s="74" t="s">
        <v>283</v>
      </c>
      <c r="J3465" s="1199" t="s">
        <v>2529</v>
      </c>
      <c r="K3465" s="1199"/>
      <c r="L3465" s="1200"/>
      <c r="M3465" s="1146"/>
      <c r="N3465" s="1103"/>
      <c r="P3465" s="159"/>
      <c r="Q3465" s="147"/>
      <c r="R3465" s="149"/>
      <c r="T3465"/>
      <c r="U3465"/>
      <c r="V3465"/>
      <c r="W3465"/>
      <c r="X3465"/>
    </row>
    <row r="3466" spans="1:24" ht="30" customHeight="1">
      <c r="A3466" s="37" t="s">
        <v>304</v>
      </c>
      <c r="B3466" s="1201" t="s">
        <v>330</v>
      </c>
      <c r="C3466" s="1202"/>
      <c r="D3466" s="1203"/>
      <c r="E3466" s="150" t="s">
        <v>295</v>
      </c>
      <c r="F3466" s="150" t="s">
        <v>331</v>
      </c>
      <c r="G3466" s="1204" t="s">
        <v>332</v>
      </c>
      <c r="H3466" s="1205"/>
      <c r="I3466" s="77" t="s">
        <v>305</v>
      </c>
      <c r="J3466" s="77"/>
      <c r="K3466" s="1303" t="s">
        <v>297</v>
      </c>
      <c r="L3466" s="1304"/>
      <c r="M3466" s="1146"/>
      <c r="N3466" s="1103"/>
      <c r="O3466"/>
      <c r="P3466" s="159"/>
      <c r="Q3466" s="147"/>
      <c r="R3466" s="149"/>
    </row>
    <row r="3467" spans="1:24" ht="30" customHeight="1">
      <c r="A3467" s="45" t="s">
        <v>1894</v>
      </c>
      <c r="B3467" s="1179" t="s">
        <v>1895</v>
      </c>
      <c r="C3467" s="1180"/>
      <c r="D3467" s="1181"/>
      <c r="E3467" s="335">
        <v>192</v>
      </c>
      <c r="F3467" s="22" t="s">
        <v>8</v>
      </c>
      <c r="G3467" s="521"/>
      <c r="H3467" s="333"/>
      <c r="I3467" s="20">
        <v>1.08</v>
      </c>
      <c r="J3467" s="20"/>
      <c r="K3467" s="331">
        <f>+E3467*I3467</f>
        <v>207.36</v>
      </c>
      <c r="L3467" s="22" t="s">
        <v>8</v>
      </c>
      <c r="M3467" s="1146"/>
      <c r="N3467" s="1103"/>
      <c r="O3467"/>
      <c r="P3467" s="159"/>
      <c r="Q3467" s="147"/>
      <c r="R3467" s="149"/>
    </row>
    <row r="3468" spans="1:24" ht="30" customHeight="1">
      <c r="A3468" s="653" t="s">
        <v>1746</v>
      </c>
      <c r="B3468" s="1179" t="s">
        <v>1896</v>
      </c>
      <c r="C3468" s="1180"/>
      <c r="D3468" s="1181"/>
      <c r="E3468" s="335">
        <v>4.0599999999999996</v>
      </c>
      <c r="F3468" s="22" t="s">
        <v>8</v>
      </c>
      <c r="G3468" s="521"/>
      <c r="H3468" s="333"/>
      <c r="I3468" s="20">
        <v>1.08</v>
      </c>
      <c r="J3468" s="20"/>
      <c r="K3468" s="331">
        <f>+E3468*I3468</f>
        <v>4.3848000000000003</v>
      </c>
      <c r="L3468" s="22" t="s">
        <v>8</v>
      </c>
      <c r="M3468" s="1146"/>
      <c r="N3468" s="282"/>
      <c r="O3468"/>
      <c r="P3468" s="159"/>
      <c r="Q3468" s="147"/>
      <c r="R3468" s="149"/>
    </row>
    <row r="3469" spans="1:24" ht="30" customHeight="1">
      <c r="A3469" s="652"/>
      <c r="B3469" s="1179"/>
      <c r="C3469" s="1180"/>
      <c r="D3469" s="1181"/>
      <c r="E3469" s="153"/>
      <c r="F3469" s="22"/>
      <c r="G3469" s="317"/>
      <c r="H3469" s="267"/>
      <c r="I3469" s="20"/>
      <c r="J3469" s="20" t="s">
        <v>346</v>
      </c>
      <c r="K3469" s="23">
        <f>SUM(K3467:K3468)</f>
        <v>211.74480000000003</v>
      </c>
      <c r="L3469" s="20" t="s">
        <v>8</v>
      </c>
      <c r="M3469" s="1146"/>
      <c r="N3469" s="282"/>
      <c r="O3469" s="34"/>
      <c r="P3469" s="283"/>
      <c r="Q3469" s="282"/>
      <c r="R3469" s="284"/>
    </row>
    <row r="3470" spans="1:24" ht="30" customHeight="1">
      <c r="A3470" s="45"/>
      <c r="B3470" s="157"/>
      <c r="C3470" s="157"/>
      <c r="D3470" s="157"/>
      <c r="E3470" s="153"/>
      <c r="F3470" s="1174" t="s">
        <v>308</v>
      </c>
      <c r="G3470" s="1208" t="s">
        <v>309</v>
      </c>
      <c r="H3470" s="1208"/>
      <c r="I3470" s="1208"/>
      <c r="J3470" s="1208"/>
      <c r="K3470" s="123">
        <v>1.06</v>
      </c>
      <c r="L3470" s="10"/>
      <c r="M3470" s="1146"/>
      <c r="N3470" s="1103"/>
      <c r="O3470" s="34"/>
      <c r="P3470" s="283"/>
      <c r="Q3470" s="282"/>
      <c r="R3470" s="284"/>
    </row>
    <row r="3471" spans="1:24" ht="30" customHeight="1">
      <c r="A3471" s="45"/>
      <c r="B3471" s="157"/>
      <c r="C3471" s="157"/>
      <c r="D3471" s="157"/>
      <c r="E3471" s="153"/>
      <c r="F3471" s="1175"/>
      <c r="G3471" s="1209" t="s">
        <v>310</v>
      </c>
      <c r="H3471" s="1209"/>
      <c r="I3471" s="1209"/>
      <c r="J3471" s="1209"/>
      <c r="K3471" s="123">
        <v>1.07</v>
      </c>
      <c r="L3471" s="10"/>
      <c r="M3471" s="1146"/>
      <c r="N3471" s="1103"/>
      <c r="O3471"/>
      <c r="P3471" s="159"/>
      <c r="Q3471" s="147"/>
      <c r="R3471" s="149"/>
    </row>
    <row r="3472" spans="1:24" ht="30" customHeight="1">
      <c r="A3472" s="652"/>
      <c r="B3472" s="1179"/>
      <c r="C3472" s="1180"/>
      <c r="D3472" s="1181"/>
      <c r="E3472" s="153"/>
      <c r="F3472" s="22"/>
      <c r="G3472" s="317"/>
      <c r="H3472" s="267"/>
      <c r="I3472" s="20"/>
      <c r="J3472" s="20" t="s">
        <v>289</v>
      </c>
      <c r="K3472" s="23">
        <f>+K3469*K3470/K3471</f>
        <v>209.76587663551405</v>
      </c>
      <c r="L3472" s="20" t="s">
        <v>8</v>
      </c>
      <c r="M3472" s="1146"/>
      <c r="N3472" s="1103"/>
      <c r="O3472"/>
      <c r="P3472" s="159"/>
      <c r="Q3472" s="147"/>
      <c r="R3472" s="149"/>
    </row>
    <row r="3473" spans="1:24" ht="30" customHeight="1" thickBot="1">
      <c r="A3473" s="45"/>
      <c r="B3473" s="20"/>
      <c r="C3473" s="18"/>
      <c r="D3473" s="18"/>
      <c r="E3473" s="18"/>
      <c r="F3473" s="18"/>
      <c r="G3473" s="160" t="s">
        <v>312</v>
      </c>
      <c r="H3473" s="18"/>
      <c r="I3473" s="18"/>
      <c r="J3473" s="139">
        <f>VLOOKUP(B3465,'Mil Cost Premiums for RUCs'!$A$4:$R$266,18,FALSE)</f>
        <v>1.3319480854780448</v>
      </c>
      <c r="K3473" s="23">
        <f>+K3469*J3473</f>
        <v>282.03308096993152</v>
      </c>
      <c r="L3473" s="20" t="s">
        <v>8</v>
      </c>
      <c r="M3473" s="1146"/>
      <c r="N3473" s="1103"/>
      <c r="O3473"/>
      <c r="P3473" s="159"/>
      <c r="Q3473" s="147"/>
      <c r="R3473" s="149"/>
    </row>
    <row r="3474" spans="1:24" ht="30" customHeight="1" thickBot="1">
      <c r="A3474" s="1165"/>
      <c r="B3474" s="1166"/>
      <c r="C3474" s="1166"/>
      <c r="D3474" s="1166"/>
      <c r="E3474" s="1166"/>
      <c r="F3474" s="1166"/>
      <c r="G3474" s="1166"/>
      <c r="H3474" s="1166"/>
      <c r="I3474" s="1166"/>
      <c r="J3474" s="1166"/>
      <c r="K3474" s="1166"/>
      <c r="L3474" s="1167"/>
      <c r="M3474" s="1146"/>
      <c r="N3474" s="1103"/>
      <c r="O3474"/>
      <c r="P3474" s="159"/>
      <c r="Q3474" s="147"/>
      <c r="R3474" s="149"/>
    </row>
    <row r="3475" spans="1:24" ht="30" customHeight="1">
      <c r="A3475" s="27" t="s">
        <v>280</v>
      </c>
      <c r="B3475" s="82">
        <v>7604</v>
      </c>
      <c r="C3475" s="1197" t="s">
        <v>1897</v>
      </c>
      <c r="D3475" s="1198"/>
      <c r="E3475" s="74" t="s">
        <v>282</v>
      </c>
      <c r="F3475" s="75" t="s">
        <v>209</v>
      </c>
      <c r="G3475" s="58" t="s">
        <v>288</v>
      </c>
      <c r="H3475" s="76">
        <v>3947</v>
      </c>
      <c r="I3475" s="74" t="s">
        <v>283</v>
      </c>
      <c r="J3475" s="1199" t="s">
        <v>2529</v>
      </c>
      <c r="K3475" s="1199"/>
      <c r="L3475" s="1200"/>
      <c r="M3475" s="1146"/>
      <c r="N3475" s="1103"/>
      <c r="O3475"/>
      <c r="P3475" s="159"/>
      <c r="Q3475" s="147"/>
      <c r="R3475" s="149"/>
      <c r="T3475" s="38"/>
      <c r="U3475" s="38"/>
      <c r="V3475" s="38"/>
      <c r="W3475" s="38"/>
      <c r="X3475" s="38"/>
    </row>
    <row r="3476" spans="1:24" s="38" customFormat="1" ht="30" customHeight="1">
      <c r="A3476" s="37" t="s">
        <v>304</v>
      </c>
      <c r="B3476" s="1201" t="s">
        <v>330</v>
      </c>
      <c r="C3476" s="1202"/>
      <c r="D3476" s="1203"/>
      <c r="E3476" s="150" t="s">
        <v>295</v>
      </c>
      <c r="F3476" s="150" t="s">
        <v>331</v>
      </c>
      <c r="G3476" s="1204" t="s">
        <v>332</v>
      </c>
      <c r="H3476" s="1205"/>
      <c r="I3476" s="77" t="s">
        <v>305</v>
      </c>
      <c r="J3476" s="77"/>
      <c r="K3476" s="1303" t="s">
        <v>297</v>
      </c>
      <c r="L3476" s="1304"/>
      <c r="M3476" s="1146"/>
      <c r="N3476" s="1103"/>
      <c r="P3476" s="159"/>
      <c r="Q3476" s="147"/>
      <c r="R3476" s="149"/>
      <c r="T3476"/>
      <c r="U3476"/>
      <c r="V3476"/>
      <c r="W3476"/>
      <c r="X3476"/>
    </row>
    <row r="3477" spans="1:24" ht="30" customHeight="1">
      <c r="A3477" s="629" t="s">
        <v>1433</v>
      </c>
      <c r="B3477" s="1179" t="s">
        <v>1898</v>
      </c>
      <c r="C3477" s="1180"/>
      <c r="D3477" s="1181"/>
      <c r="E3477" s="335">
        <v>154</v>
      </c>
      <c r="F3477" s="22" t="s">
        <v>1899</v>
      </c>
      <c r="G3477" s="521">
        <v>1.54</v>
      </c>
      <c r="H3477" s="695" t="s">
        <v>2517</v>
      </c>
      <c r="I3477" s="326">
        <v>1.1000000000000001</v>
      </c>
      <c r="J3477" s="20"/>
      <c r="K3477" s="331">
        <f>+E3477*I3477/G3477</f>
        <v>110</v>
      </c>
      <c r="L3477" s="22" t="s">
        <v>209</v>
      </c>
      <c r="M3477" s="1146"/>
      <c r="N3477" s="1103"/>
      <c r="O3477"/>
      <c r="P3477" s="159"/>
      <c r="Q3477" s="147"/>
      <c r="R3477" s="149"/>
    </row>
    <row r="3478" spans="1:24" ht="30" customHeight="1">
      <c r="A3478" s="45"/>
      <c r="B3478" s="157"/>
      <c r="C3478" s="157"/>
      <c r="D3478" s="157"/>
      <c r="E3478" s="153"/>
      <c r="F3478" s="1174" t="s">
        <v>308</v>
      </c>
      <c r="G3478" s="1208" t="s">
        <v>309</v>
      </c>
      <c r="H3478" s="1208"/>
      <c r="I3478" s="1208"/>
      <c r="J3478" s="1208"/>
      <c r="K3478" s="123">
        <v>1.06</v>
      </c>
      <c r="L3478" s="10"/>
      <c r="M3478" s="1146"/>
      <c r="N3478" s="1103"/>
      <c r="O3478"/>
      <c r="P3478" s="159"/>
      <c r="Q3478" s="147"/>
      <c r="R3478" s="149"/>
    </row>
    <row r="3479" spans="1:24" ht="30" customHeight="1">
      <c r="A3479" s="45"/>
      <c r="B3479" s="157"/>
      <c r="C3479" s="157"/>
      <c r="D3479" s="157"/>
      <c r="E3479" s="153"/>
      <c r="F3479" s="1175"/>
      <c r="G3479" s="1209" t="s">
        <v>310</v>
      </c>
      <c r="H3479" s="1209"/>
      <c r="I3479" s="1209"/>
      <c r="J3479" s="1209"/>
      <c r="K3479" s="123">
        <v>1.07</v>
      </c>
      <c r="L3479" s="10"/>
      <c r="M3479" s="1146"/>
      <c r="N3479" s="282"/>
      <c r="O3479"/>
      <c r="P3479" s="159"/>
      <c r="Q3479" s="147"/>
      <c r="R3479" s="149"/>
    </row>
    <row r="3480" spans="1:24" ht="30" customHeight="1">
      <c r="A3480" s="652"/>
      <c r="B3480" s="1179"/>
      <c r="C3480" s="1180"/>
      <c r="D3480" s="1181"/>
      <c r="E3480" s="153"/>
      <c r="F3480" s="22"/>
      <c r="G3480" s="317"/>
      <c r="H3480" s="267"/>
      <c r="I3480" s="20"/>
      <c r="J3480" s="20" t="s">
        <v>289</v>
      </c>
      <c r="K3480" s="23">
        <f>+K3477*K3478/K3479</f>
        <v>108.97196261682244</v>
      </c>
      <c r="L3480" s="20" t="s">
        <v>209</v>
      </c>
      <c r="M3480" s="1146"/>
      <c r="N3480" s="282"/>
      <c r="O3480"/>
      <c r="P3480" s="159"/>
      <c r="Q3480" s="147"/>
      <c r="R3480" s="149"/>
    </row>
    <row r="3481" spans="1:24" ht="30" customHeight="1" thickBot="1">
      <c r="A3481" s="45"/>
      <c r="B3481" s="1584" t="s">
        <v>2905</v>
      </c>
      <c r="C3481" s="1585"/>
      <c r="D3481" s="1586"/>
      <c r="E3481" s="18"/>
      <c r="F3481" s="18"/>
      <c r="G3481" s="160" t="s">
        <v>312</v>
      </c>
      <c r="H3481" s="18"/>
      <c r="I3481" s="18"/>
      <c r="J3481" s="139">
        <f>VLOOKUP(B3475,'Mil Cost Premiums for RUCs'!$A$4:$R$266,18,FALSE)</f>
        <v>1.1199953840399997</v>
      </c>
      <c r="K3481" s="23">
        <f>+K3480*J3481</f>
        <v>122.04809512062053</v>
      </c>
      <c r="L3481" s="20" t="s">
        <v>209</v>
      </c>
      <c r="M3481" s="1146"/>
      <c r="N3481" s="1103"/>
      <c r="O3481"/>
      <c r="P3481" s="159"/>
      <c r="Q3481" s="147"/>
      <c r="R3481" s="149"/>
    </row>
    <row r="3482" spans="1:24" ht="30" customHeight="1" thickBot="1">
      <c r="A3482" s="1165"/>
      <c r="B3482" s="1166"/>
      <c r="C3482" s="1166"/>
      <c r="D3482" s="1166"/>
      <c r="E3482" s="1166"/>
      <c r="F3482" s="1166"/>
      <c r="G3482" s="1166"/>
      <c r="H3482" s="1166"/>
      <c r="I3482" s="1166"/>
      <c r="J3482" s="1166"/>
      <c r="K3482" s="1166"/>
      <c r="L3482" s="1167"/>
      <c r="M3482" s="1146"/>
      <c r="N3482" s="1103"/>
      <c r="O3482"/>
      <c r="P3482" s="159"/>
      <c r="Q3482" s="147"/>
      <c r="R3482" s="149"/>
    </row>
    <row r="3483" spans="1:24" ht="30" customHeight="1">
      <c r="A3483" s="27" t="s">
        <v>280</v>
      </c>
      <c r="B3483" s="28">
        <v>7605</v>
      </c>
      <c r="C3483" s="1393" t="s">
        <v>1900</v>
      </c>
      <c r="D3483" s="1394"/>
      <c r="E3483" s="30" t="s">
        <v>282</v>
      </c>
      <c r="F3483" s="31" t="s">
        <v>10</v>
      </c>
      <c r="G3483" s="70"/>
      <c r="H3483" s="735"/>
      <c r="I3483" s="30" t="s">
        <v>283</v>
      </c>
      <c r="J3483" s="1199" t="s">
        <v>2533</v>
      </c>
      <c r="K3483" s="1199"/>
      <c r="L3483" s="1200"/>
      <c r="M3483" s="1146"/>
      <c r="N3483" s="1103"/>
      <c r="O3483"/>
      <c r="P3483" s="159"/>
      <c r="Q3483" s="147"/>
      <c r="R3483" s="149"/>
    </row>
    <row r="3484" spans="1:24" ht="30" customHeight="1">
      <c r="A3484" s="35"/>
      <c r="B3484" s="1299" t="s">
        <v>284</v>
      </c>
      <c r="C3484" s="1299"/>
      <c r="D3484" s="1299"/>
      <c r="E3484" s="35" t="s">
        <v>512</v>
      </c>
      <c r="F3484" s="35" t="s">
        <v>331</v>
      </c>
      <c r="G3484" s="1356" t="s">
        <v>332</v>
      </c>
      <c r="H3484" s="1357"/>
      <c r="I3484" s="279" t="s">
        <v>337</v>
      </c>
      <c r="J3484" s="35" t="s">
        <v>441</v>
      </c>
      <c r="K3484" s="1303" t="s">
        <v>297</v>
      </c>
      <c r="L3484" s="1304"/>
      <c r="M3484" s="1146"/>
      <c r="N3484" s="1103"/>
      <c r="O3484" s="34"/>
      <c r="P3484" s="283"/>
      <c r="Q3484" s="282"/>
      <c r="R3484" s="284"/>
    </row>
    <row r="3485" spans="1:24" ht="30" customHeight="1">
      <c r="A3485" s="40"/>
      <c r="B3485" s="1306" t="s">
        <v>1901</v>
      </c>
      <c r="C3485" s="1306"/>
      <c r="D3485" s="1306"/>
      <c r="E3485" s="54">
        <v>6390138</v>
      </c>
      <c r="F3485" s="40" t="s">
        <v>286</v>
      </c>
      <c r="G3485" s="88">
        <v>184</v>
      </c>
      <c r="H3485" s="319" t="s">
        <v>1902</v>
      </c>
      <c r="I3485" s="1084">
        <f>1.06/1.07</f>
        <v>0.99065420560747663</v>
      </c>
      <c r="J3485" s="593">
        <f>+'2019 MILCON Inflation Table'!F4</f>
        <v>1.2897000000000001</v>
      </c>
      <c r="K3485" s="54">
        <f>+E3485/G3485/I3485*J3485</f>
        <v>45212.552538463904</v>
      </c>
      <c r="L3485" s="40" t="s">
        <v>10</v>
      </c>
      <c r="M3485" s="1146"/>
      <c r="N3485" s="1103"/>
      <c r="O3485" s="34"/>
      <c r="P3485" s="283"/>
      <c r="Q3485" s="282"/>
      <c r="R3485" s="284"/>
    </row>
    <row r="3486" spans="1:24" ht="30" customHeight="1">
      <c r="A3486" s="40"/>
      <c r="B3486" s="53"/>
      <c r="C3486" s="736"/>
      <c r="D3486" s="737"/>
      <c r="E3486" s="93"/>
      <c r="F3486" s="40"/>
      <c r="G3486" s="88"/>
      <c r="H3486" s="738"/>
      <c r="I3486" s="1671" t="s">
        <v>1903</v>
      </c>
      <c r="J3486" s="1672"/>
      <c r="K3486" s="54">
        <f>+K3485</f>
        <v>45212.552538463904</v>
      </c>
      <c r="L3486" s="48" t="s">
        <v>10</v>
      </c>
      <c r="M3486" s="1146"/>
      <c r="N3486" s="1103"/>
      <c r="O3486"/>
      <c r="P3486" s="159"/>
      <c r="Q3486" s="147"/>
      <c r="R3486" s="149"/>
      <c r="T3486" s="32"/>
      <c r="U3486" s="34"/>
    </row>
    <row r="3487" spans="1:24" ht="30" customHeight="1">
      <c r="A3487" s="45"/>
      <c r="B3487" s="1307"/>
      <c r="C3487" s="1307"/>
      <c r="D3487" s="1307"/>
      <c r="E3487" s="564" t="s">
        <v>1318</v>
      </c>
      <c r="F3487" s="46"/>
      <c r="G3487" s="46"/>
      <c r="H3487" s="46"/>
      <c r="I3487" s="46"/>
      <c r="J3487" s="209" t="s">
        <v>289</v>
      </c>
      <c r="K3487" s="739">
        <f>+K3486</f>
        <v>45212.552538463904</v>
      </c>
      <c r="L3487" s="48" t="s">
        <v>10</v>
      </c>
      <c r="M3487" s="1146"/>
      <c r="N3487" s="1103"/>
      <c r="O3487" s="33"/>
      <c r="P3487" s="32"/>
      <c r="Q3487" s="32"/>
      <c r="R3487" s="32"/>
      <c r="S3487" s="32"/>
      <c r="U3487" s="34"/>
    </row>
    <row r="3488" spans="1:24" ht="30" customHeight="1">
      <c r="A3488" s="1261" t="s">
        <v>2875</v>
      </c>
      <c r="B3488" s="1262"/>
      <c r="C3488" s="1262"/>
      <c r="D3488" s="1262"/>
      <c r="E3488" s="1262"/>
      <c r="F3488" s="1262"/>
      <c r="G3488" s="1262"/>
      <c r="H3488" s="1262"/>
      <c r="I3488" s="1262"/>
      <c r="J3488" s="1262"/>
      <c r="K3488" s="1262"/>
      <c r="L3488" s="1263"/>
      <c r="M3488" s="1146"/>
      <c r="N3488" s="1103"/>
      <c r="U3488" s="32"/>
      <c r="V3488" s="32"/>
      <c r="W3488" s="32"/>
      <c r="X3488" s="32"/>
    </row>
    <row r="3489" spans="1:24" s="32" customFormat="1" ht="15" customHeight="1" thickBot="1">
      <c r="A3489" s="1673"/>
      <c r="B3489" s="1674"/>
      <c r="C3489" s="1674"/>
      <c r="D3489" s="1674"/>
      <c r="E3489" s="1674"/>
      <c r="F3489" s="1674"/>
      <c r="G3489" s="1674"/>
      <c r="H3489" s="1674"/>
      <c r="I3489" s="1674"/>
      <c r="J3489" s="1674"/>
      <c r="K3489" s="1674"/>
      <c r="L3489" s="1675"/>
      <c r="M3489" s="1146"/>
      <c r="N3489" s="1103"/>
      <c r="O3489" s="1119"/>
      <c r="P3489"/>
      <c r="Q3489"/>
      <c r="R3489"/>
      <c r="S3489"/>
      <c r="T3489" s="84"/>
      <c r="U3489" s="38"/>
      <c r="V3489" s="38"/>
      <c r="W3489" s="38"/>
      <c r="X3489" s="38"/>
    </row>
    <row r="3490" spans="1:24" s="38" customFormat="1" ht="30" customHeight="1" thickBot="1">
      <c r="A3490" s="1165"/>
      <c r="B3490" s="1166"/>
      <c r="C3490" s="1166"/>
      <c r="D3490" s="1166"/>
      <c r="E3490" s="1166"/>
      <c r="F3490" s="1166"/>
      <c r="G3490" s="1166"/>
      <c r="H3490" s="1166"/>
      <c r="I3490" s="1166"/>
      <c r="J3490" s="1166"/>
      <c r="K3490" s="1166"/>
      <c r="L3490" s="1167"/>
      <c r="M3490" s="1146"/>
      <c r="N3490" s="1103"/>
      <c r="O3490" s="1119"/>
      <c r="P3490" s="39"/>
      <c r="Q3490" s="39"/>
      <c r="R3490" s="39"/>
      <c r="S3490" s="84"/>
      <c r="T3490" s="44"/>
      <c r="U3490"/>
      <c r="V3490"/>
      <c r="W3490"/>
      <c r="X3490"/>
    </row>
    <row r="3491" spans="1:24" ht="30" customHeight="1">
      <c r="A3491" s="27" t="s">
        <v>280</v>
      </c>
      <c r="B3491" s="82">
        <v>8111</v>
      </c>
      <c r="C3491" s="1197" t="s">
        <v>1904</v>
      </c>
      <c r="D3491" s="1198"/>
      <c r="E3491" s="74" t="s">
        <v>282</v>
      </c>
      <c r="F3491" s="75" t="s">
        <v>211</v>
      </c>
      <c r="G3491" s="58" t="s">
        <v>290</v>
      </c>
      <c r="H3491" s="76">
        <v>5455</v>
      </c>
      <c r="I3491" s="74" t="s">
        <v>283</v>
      </c>
      <c r="J3491" s="1199" t="s">
        <v>2529</v>
      </c>
      <c r="K3491" s="1199"/>
      <c r="L3491" s="1200"/>
      <c r="M3491" s="1146"/>
      <c r="N3491" s="1103"/>
      <c r="P3491" s="34"/>
      <c r="Q3491" s="34"/>
      <c r="R3491" s="34"/>
      <c r="S3491" s="44"/>
      <c r="T3491" s="32"/>
      <c r="U3491" s="34"/>
    </row>
    <row r="3492" spans="1:24" ht="30" customHeight="1">
      <c r="A3492" s="37" t="s">
        <v>304</v>
      </c>
      <c r="B3492" s="1201" t="s">
        <v>330</v>
      </c>
      <c r="C3492" s="1202"/>
      <c r="D3492" s="1203"/>
      <c r="E3492" s="150" t="s">
        <v>295</v>
      </c>
      <c r="F3492" s="150" t="s">
        <v>331</v>
      </c>
      <c r="G3492" s="1204" t="s">
        <v>332</v>
      </c>
      <c r="H3492" s="1205"/>
      <c r="I3492" s="77" t="s">
        <v>305</v>
      </c>
      <c r="J3492" s="77"/>
      <c r="K3492" s="1303" t="s">
        <v>297</v>
      </c>
      <c r="L3492" s="1304"/>
      <c r="M3492" s="1146"/>
      <c r="N3492" s="1103"/>
      <c r="O3492" s="33"/>
      <c r="P3492" s="32"/>
      <c r="Q3492" s="32"/>
      <c r="R3492" s="32"/>
      <c r="S3492" s="32"/>
      <c r="U3492" s="34"/>
    </row>
    <row r="3493" spans="1:24" ht="30" customHeight="1">
      <c r="A3493" s="629" t="s">
        <v>604</v>
      </c>
      <c r="B3493" s="1176" t="s">
        <v>1905</v>
      </c>
      <c r="C3493" s="1177"/>
      <c r="D3493" s="1178"/>
      <c r="E3493" s="335">
        <v>371</v>
      </c>
      <c r="F3493" s="22" t="s">
        <v>211</v>
      </c>
      <c r="G3493" s="521"/>
      <c r="H3493" s="333"/>
      <c r="I3493" s="326">
        <v>1.07</v>
      </c>
      <c r="J3493" s="20"/>
      <c r="K3493" s="331">
        <f>+E3493*I3493</f>
        <v>396.97</v>
      </c>
      <c r="L3493" s="22" t="s">
        <v>211</v>
      </c>
      <c r="M3493" s="1146"/>
      <c r="N3493" s="282"/>
      <c r="U3493" s="32"/>
      <c r="V3493" s="32"/>
      <c r="W3493" s="32"/>
      <c r="X3493" s="32"/>
    </row>
    <row r="3494" spans="1:24" s="32" customFormat="1" ht="30" customHeight="1">
      <c r="A3494" s="45"/>
      <c r="B3494" s="157"/>
      <c r="C3494" s="157"/>
      <c r="D3494" s="157"/>
      <c r="E3494" s="153"/>
      <c r="F3494" s="1174" t="s">
        <v>308</v>
      </c>
      <c r="G3494" s="1208" t="s">
        <v>309</v>
      </c>
      <c r="H3494" s="1208"/>
      <c r="I3494" s="1208"/>
      <c r="J3494" s="1208"/>
      <c r="K3494" s="123">
        <v>1.06</v>
      </c>
      <c r="L3494" s="10"/>
      <c r="M3494" s="1146"/>
      <c r="N3494" s="282"/>
      <c r="O3494" s="1119"/>
      <c r="P3494"/>
      <c r="Q3494"/>
      <c r="R3494"/>
      <c r="S3494"/>
      <c r="T3494" s="84"/>
      <c r="U3494" s="38"/>
      <c r="V3494" s="38"/>
      <c r="W3494" s="38"/>
      <c r="X3494" s="38"/>
    </row>
    <row r="3495" spans="1:24" s="38" customFormat="1" ht="30" customHeight="1">
      <c r="A3495" s="45"/>
      <c r="B3495" s="157"/>
      <c r="C3495" s="157"/>
      <c r="D3495" s="157"/>
      <c r="E3495" s="153"/>
      <c r="F3495" s="1175"/>
      <c r="G3495" s="1209" t="s">
        <v>310</v>
      </c>
      <c r="H3495" s="1209"/>
      <c r="I3495" s="1209"/>
      <c r="J3495" s="1209"/>
      <c r="K3495" s="123">
        <v>1.07</v>
      </c>
      <c r="L3495" s="10"/>
      <c r="M3495" s="1146"/>
      <c r="N3495" s="1103"/>
      <c r="O3495" s="1119"/>
      <c r="P3495" s="39"/>
      <c r="Q3495" s="39"/>
      <c r="R3495" s="39"/>
      <c r="S3495" s="84"/>
      <c r="T3495" s="44"/>
      <c r="U3495"/>
      <c r="V3495"/>
      <c r="W3495"/>
      <c r="X3495"/>
    </row>
    <row r="3496" spans="1:24" ht="30" customHeight="1">
      <c r="A3496" s="652"/>
      <c r="B3496" s="1179"/>
      <c r="C3496" s="1180"/>
      <c r="D3496" s="1181"/>
      <c r="E3496" s="153"/>
      <c r="F3496" s="22"/>
      <c r="G3496" s="317"/>
      <c r="H3496" s="267"/>
      <c r="I3496" s="20"/>
      <c r="J3496" s="20" t="s">
        <v>289</v>
      </c>
      <c r="K3496" s="23">
        <f>+K3493*K3494/K3495</f>
        <v>393.26000000000005</v>
      </c>
      <c r="L3496" s="20" t="s">
        <v>211</v>
      </c>
      <c r="M3496" s="1146"/>
      <c r="N3496" s="1103"/>
      <c r="P3496" s="34"/>
      <c r="Q3496" s="34"/>
      <c r="R3496" s="34"/>
      <c r="S3496" s="44"/>
    </row>
    <row r="3497" spans="1:24" ht="30" customHeight="1" thickBot="1">
      <c r="A3497" s="45"/>
      <c r="B3497" s="20"/>
      <c r="C3497" s="18"/>
      <c r="D3497" s="18"/>
      <c r="E3497" s="18"/>
      <c r="F3497" s="18"/>
      <c r="G3497" s="160" t="s">
        <v>312</v>
      </c>
      <c r="H3497" s="18"/>
      <c r="I3497" s="18"/>
      <c r="J3497" s="139">
        <f>VLOOKUP(B3491,'Mil Cost Premiums for RUCs'!$A$4:$R$266,18,FALSE)</f>
        <v>1.0905505199999999</v>
      </c>
      <c r="K3497" s="23">
        <f>+K3496*J3497</f>
        <v>428.86989749520001</v>
      </c>
      <c r="L3497" s="20" t="s">
        <v>211</v>
      </c>
      <c r="M3497" s="1146"/>
      <c r="N3497" s="1103"/>
      <c r="O3497"/>
      <c r="P3497" s="159"/>
      <c r="Q3497" s="147"/>
      <c r="R3497" s="149"/>
    </row>
    <row r="3498" spans="1:24" ht="30" customHeight="1" thickBot="1">
      <c r="A3498" s="1165"/>
      <c r="B3498" s="1166"/>
      <c r="C3498" s="1166"/>
      <c r="D3498" s="1166"/>
      <c r="E3498" s="1166"/>
      <c r="F3498" s="1166"/>
      <c r="G3498" s="1166"/>
      <c r="H3498" s="1166"/>
      <c r="I3498" s="1166"/>
      <c r="J3498" s="1166"/>
      <c r="K3498" s="1166"/>
      <c r="L3498" s="1167"/>
      <c r="M3498" s="1146"/>
      <c r="N3498" s="125"/>
      <c r="O3498"/>
      <c r="P3498" s="159"/>
      <c r="Q3498" s="147"/>
      <c r="R3498" s="149"/>
    </row>
    <row r="3499" spans="1:24" ht="30" customHeight="1">
      <c r="A3499" s="81" t="s">
        <v>280</v>
      </c>
      <c r="B3499" s="82">
        <v>8112</v>
      </c>
      <c r="C3499" s="1228" t="s">
        <v>1906</v>
      </c>
      <c r="D3499" s="1229"/>
      <c r="E3499" s="74" t="s">
        <v>282</v>
      </c>
      <c r="F3499" s="75" t="s">
        <v>211</v>
      </c>
      <c r="G3499" s="58" t="s">
        <v>290</v>
      </c>
      <c r="H3499" s="104">
        <v>360</v>
      </c>
      <c r="I3499" s="74" t="s">
        <v>283</v>
      </c>
      <c r="J3499" s="1199" t="s">
        <v>2569</v>
      </c>
      <c r="K3499" s="1199"/>
      <c r="L3499" s="1200"/>
      <c r="M3499" s="1146"/>
      <c r="N3499" s="193"/>
      <c r="O3499"/>
      <c r="P3499" s="159"/>
      <c r="Q3499" s="147"/>
      <c r="R3499" s="149"/>
      <c r="T3499" s="38"/>
      <c r="U3499" s="38"/>
      <c r="V3499" s="38"/>
      <c r="W3499" s="38"/>
      <c r="X3499" s="38"/>
    </row>
    <row r="3500" spans="1:24" s="38" customFormat="1" ht="30" customHeight="1">
      <c r="A3500" s="77" t="s">
        <v>293</v>
      </c>
      <c r="B3500" s="1232" t="s">
        <v>284</v>
      </c>
      <c r="C3500" s="1232"/>
      <c r="D3500" s="1232"/>
      <c r="E3500" s="96" t="s">
        <v>1907</v>
      </c>
      <c r="F3500" s="77" t="s">
        <v>1908</v>
      </c>
      <c r="G3500" s="1365" t="s">
        <v>332</v>
      </c>
      <c r="H3500" s="1366"/>
      <c r="I3500" s="1233" t="s">
        <v>426</v>
      </c>
      <c r="J3500" s="1234"/>
      <c r="K3500" s="1303" t="s">
        <v>297</v>
      </c>
      <c r="L3500" s="1304"/>
      <c r="M3500" s="1146"/>
      <c r="N3500" s="25"/>
      <c r="P3500" s="159"/>
      <c r="Q3500" s="147"/>
      <c r="R3500" s="149"/>
      <c r="T3500"/>
      <c r="U3500"/>
      <c r="V3500"/>
      <c r="W3500"/>
      <c r="X3500"/>
    </row>
    <row r="3501" spans="1:24" ht="30" customHeight="1">
      <c r="A3501" s="20">
        <v>81160</v>
      </c>
      <c r="B3501" s="1267" t="s">
        <v>1909</v>
      </c>
      <c r="C3501" s="1267"/>
      <c r="D3501" s="1267"/>
      <c r="E3501" s="153">
        <v>68260</v>
      </c>
      <c r="F3501" s="316">
        <v>75</v>
      </c>
      <c r="G3501" s="317">
        <v>75</v>
      </c>
      <c r="H3501" s="267" t="s">
        <v>1910</v>
      </c>
      <c r="I3501" s="1397">
        <f>+'2019 MILCON Inflation Table'!$F$18</f>
        <v>0.94232233454704462</v>
      </c>
      <c r="J3501" s="1398"/>
      <c r="K3501" s="242">
        <f t="shared" ref="K3501:K3506" si="59">+E3501/F3501*I3501</f>
        <v>857.63896741575024</v>
      </c>
      <c r="L3501" s="20" t="s">
        <v>211</v>
      </c>
      <c r="M3501" s="1146"/>
      <c r="O3501"/>
      <c r="P3501" s="159"/>
      <c r="Q3501" s="147"/>
      <c r="R3501" s="149"/>
    </row>
    <row r="3502" spans="1:24" ht="30" customHeight="1">
      <c r="A3502" s="20">
        <v>81160</v>
      </c>
      <c r="B3502" s="1267" t="s">
        <v>1911</v>
      </c>
      <c r="C3502" s="1267"/>
      <c r="D3502" s="1267"/>
      <c r="E3502" s="153">
        <v>80630</v>
      </c>
      <c r="F3502" s="316">
        <v>125</v>
      </c>
      <c r="G3502" s="317">
        <v>125</v>
      </c>
      <c r="H3502" s="267" t="s">
        <v>1910</v>
      </c>
      <c r="I3502" s="1397">
        <f>+'2019 MILCON Inflation Table'!$F$18</f>
        <v>0.94232233454704462</v>
      </c>
      <c r="J3502" s="1398"/>
      <c r="K3502" s="242">
        <f t="shared" si="59"/>
        <v>607.83559867622557</v>
      </c>
      <c r="L3502" s="20" t="s">
        <v>211</v>
      </c>
      <c r="M3502" s="1146"/>
      <c r="O3502"/>
      <c r="P3502" s="159"/>
      <c r="Q3502" s="147"/>
      <c r="R3502" s="149"/>
    </row>
    <row r="3503" spans="1:24" ht="30" customHeight="1">
      <c r="A3503" s="20">
        <v>81160</v>
      </c>
      <c r="B3503" s="1267" t="s">
        <v>1912</v>
      </c>
      <c r="C3503" s="1267"/>
      <c r="D3503" s="1267"/>
      <c r="E3503" s="153">
        <v>104970</v>
      </c>
      <c r="F3503" s="316">
        <v>200</v>
      </c>
      <c r="G3503" s="317">
        <v>200</v>
      </c>
      <c r="H3503" s="267" t="s">
        <v>1910</v>
      </c>
      <c r="I3503" s="1397">
        <f>+'2019 MILCON Inflation Table'!$F$18</f>
        <v>0.94232233454704462</v>
      </c>
      <c r="J3503" s="1398"/>
      <c r="K3503" s="242">
        <f t="shared" si="59"/>
        <v>494.57787728701641</v>
      </c>
      <c r="L3503" s="20" t="s">
        <v>211</v>
      </c>
      <c r="M3503" s="1146"/>
      <c r="N3503" s="125"/>
      <c r="O3503"/>
      <c r="P3503" s="159"/>
      <c r="Q3503" s="147"/>
      <c r="R3503" s="149"/>
    </row>
    <row r="3504" spans="1:24" ht="30" customHeight="1">
      <c r="A3504" s="20">
        <v>81160</v>
      </c>
      <c r="B3504" s="1267" t="s">
        <v>1913</v>
      </c>
      <c r="C3504" s="1267"/>
      <c r="D3504" s="1267"/>
      <c r="E3504" s="153">
        <v>128660</v>
      </c>
      <c r="F3504" s="316">
        <v>300</v>
      </c>
      <c r="G3504" s="317">
        <v>300</v>
      </c>
      <c r="H3504" s="267" t="s">
        <v>1910</v>
      </c>
      <c r="I3504" s="1397">
        <f>+'2019 MILCON Inflation Table'!$F$18</f>
        <v>0.94232233454704462</v>
      </c>
      <c r="J3504" s="1398"/>
      <c r="K3504" s="242">
        <f t="shared" si="59"/>
        <v>404.13063854274253</v>
      </c>
      <c r="L3504" s="20" t="s">
        <v>211</v>
      </c>
      <c r="M3504" s="1146"/>
      <c r="N3504" s="193"/>
      <c r="O3504" s="34"/>
      <c r="P3504" s="283"/>
      <c r="Q3504" s="282"/>
      <c r="R3504" s="284"/>
    </row>
    <row r="3505" spans="1:24" ht="30" customHeight="1">
      <c r="A3505" s="20">
        <v>81160</v>
      </c>
      <c r="B3505" s="1267" t="s">
        <v>1914</v>
      </c>
      <c r="C3505" s="1267"/>
      <c r="D3505" s="1267"/>
      <c r="E3505" s="714">
        <v>174410</v>
      </c>
      <c r="F3505" s="316">
        <v>400</v>
      </c>
      <c r="G3505" s="317">
        <v>400</v>
      </c>
      <c r="H3505" s="267" t="s">
        <v>1910</v>
      </c>
      <c r="I3505" s="1397">
        <f>+'2019 MILCON Inflation Table'!$F$18</f>
        <v>0.94232233454704462</v>
      </c>
      <c r="J3505" s="1398"/>
      <c r="K3505" s="242">
        <f t="shared" si="59"/>
        <v>410.87609592087512</v>
      </c>
      <c r="L3505" s="20" t="s">
        <v>211</v>
      </c>
      <c r="M3505" s="1146"/>
      <c r="O3505" s="34"/>
      <c r="P3505" s="283"/>
      <c r="Q3505" s="282"/>
      <c r="R3505" s="284"/>
    </row>
    <row r="3506" spans="1:24" ht="30" customHeight="1">
      <c r="A3506" s="20">
        <v>81160</v>
      </c>
      <c r="B3506" s="1267" t="s">
        <v>1915</v>
      </c>
      <c r="C3506" s="1267"/>
      <c r="D3506" s="1267"/>
      <c r="E3506" s="714">
        <v>216330</v>
      </c>
      <c r="F3506" s="316">
        <v>500</v>
      </c>
      <c r="G3506" s="317">
        <v>500</v>
      </c>
      <c r="H3506" s="267" t="s">
        <v>1910</v>
      </c>
      <c r="I3506" s="1397">
        <f>+'2019 MILCON Inflation Table'!$F$18</f>
        <v>0.94232233454704462</v>
      </c>
      <c r="J3506" s="1398"/>
      <c r="K3506" s="242">
        <f t="shared" si="59"/>
        <v>407.70518126512434</v>
      </c>
      <c r="L3506" s="20" t="s">
        <v>211</v>
      </c>
      <c r="M3506" s="1146"/>
      <c r="O3506"/>
      <c r="P3506" s="159"/>
      <c r="Q3506" s="147"/>
      <c r="R3506" s="149"/>
    </row>
    <row r="3507" spans="1:24" ht="30" customHeight="1">
      <c r="A3507" s="20"/>
      <c r="B3507" s="207"/>
      <c r="C3507" s="208"/>
      <c r="D3507" s="155"/>
      <c r="E3507" s="740"/>
      <c r="F3507" s="527"/>
      <c r="G3507" s="272"/>
      <c r="H3507" s="267"/>
      <c r="I3507" s="530"/>
      <c r="J3507" s="339" t="s">
        <v>311</v>
      </c>
      <c r="K3507" s="106">
        <f>AVERAGE(K3501:K3506)</f>
        <v>530.46072651795578</v>
      </c>
      <c r="L3507" s="97" t="s">
        <v>211</v>
      </c>
      <c r="M3507" s="1146"/>
      <c r="O3507"/>
      <c r="P3507" s="159"/>
      <c r="Q3507" s="147"/>
      <c r="R3507" s="149"/>
    </row>
    <row r="3508" spans="1:24" ht="30" customHeight="1" thickBot="1">
      <c r="A3508" s="20"/>
      <c r="B3508" s="1179"/>
      <c r="C3508" s="1180"/>
      <c r="D3508" s="1181"/>
      <c r="E3508" s="181"/>
      <c r="F3508" s="338"/>
      <c r="G3508" s="181"/>
      <c r="H3508" s="181"/>
      <c r="I3508" s="18"/>
      <c r="J3508" s="79" t="s">
        <v>289</v>
      </c>
      <c r="K3508" s="107">
        <f>AVERAGE(K3501:K3507)</f>
        <v>530.46072651795578</v>
      </c>
      <c r="L3508" s="97" t="s">
        <v>211</v>
      </c>
      <c r="M3508" s="1146"/>
      <c r="N3508" s="1103"/>
      <c r="O3508"/>
      <c r="P3508" s="159"/>
      <c r="Q3508" s="147"/>
      <c r="R3508" s="149"/>
    </row>
    <row r="3509" spans="1:24" ht="30" customHeight="1" thickBot="1">
      <c r="A3509" s="1165"/>
      <c r="B3509" s="1166"/>
      <c r="C3509" s="1166"/>
      <c r="D3509" s="1166"/>
      <c r="E3509" s="1166"/>
      <c r="F3509" s="1166"/>
      <c r="G3509" s="1166"/>
      <c r="H3509" s="1166"/>
      <c r="I3509" s="1166"/>
      <c r="J3509" s="1166"/>
      <c r="K3509" s="1166"/>
      <c r="L3509" s="1167"/>
      <c r="M3509" s="1146"/>
      <c r="N3509" s="657"/>
      <c r="O3509"/>
      <c r="P3509" s="159"/>
      <c r="Q3509" s="147"/>
      <c r="R3509" s="149"/>
      <c r="T3509" s="38"/>
      <c r="U3509" s="38"/>
      <c r="V3509" s="38"/>
      <c r="W3509" s="38"/>
      <c r="X3509" s="38"/>
    </row>
    <row r="3510" spans="1:24" s="38" customFormat="1" ht="30" customHeight="1">
      <c r="A3510" s="81" t="s">
        <v>280</v>
      </c>
      <c r="B3510" s="82">
        <v>8113</v>
      </c>
      <c r="C3510" s="1197" t="s">
        <v>1916</v>
      </c>
      <c r="D3510" s="1198"/>
      <c r="E3510" s="74" t="s">
        <v>282</v>
      </c>
      <c r="F3510" s="75" t="s">
        <v>213</v>
      </c>
      <c r="G3510" s="58" t="s">
        <v>290</v>
      </c>
      <c r="H3510" s="76">
        <v>3000</v>
      </c>
      <c r="I3510" s="74" t="s">
        <v>283</v>
      </c>
      <c r="J3510" s="1199" t="s">
        <v>2529</v>
      </c>
      <c r="K3510" s="1199"/>
      <c r="L3510" s="1200"/>
      <c r="M3510" s="1146"/>
      <c r="N3510" s="1103"/>
      <c r="P3510" s="159"/>
      <c r="Q3510" s="147"/>
      <c r="R3510" s="149"/>
      <c r="T3510"/>
      <c r="U3510"/>
      <c r="V3510"/>
      <c r="W3510"/>
      <c r="X3510"/>
    </row>
    <row r="3511" spans="1:24" ht="30" customHeight="1">
      <c r="A3511" s="79" t="s">
        <v>304</v>
      </c>
      <c r="B3511" s="1201" t="s">
        <v>330</v>
      </c>
      <c r="C3511" s="1202"/>
      <c r="D3511" s="1203"/>
      <c r="E3511" s="150" t="s">
        <v>295</v>
      </c>
      <c r="F3511" s="150" t="s">
        <v>331</v>
      </c>
      <c r="G3511" s="1204" t="s">
        <v>332</v>
      </c>
      <c r="H3511" s="1205"/>
      <c r="I3511" s="77" t="s">
        <v>305</v>
      </c>
      <c r="J3511" s="77"/>
      <c r="K3511" s="1303" t="s">
        <v>297</v>
      </c>
      <c r="L3511" s="1304"/>
      <c r="M3511" s="1146"/>
      <c r="N3511" s="1103"/>
      <c r="O3511"/>
      <c r="P3511" s="159"/>
      <c r="Q3511" s="147"/>
      <c r="R3511" s="149"/>
    </row>
    <row r="3512" spans="1:24" ht="30" customHeight="1">
      <c r="A3512" s="647" t="s">
        <v>1189</v>
      </c>
      <c r="B3512" s="1176" t="s">
        <v>1917</v>
      </c>
      <c r="C3512" s="1177"/>
      <c r="D3512" s="1178"/>
      <c r="E3512" s="335">
        <f>(1850+5800)/2</f>
        <v>3825</v>
      </c>
      <c r="F3512" s="22" t="s">
        <v>211</v>
      </c>
      <c r="G3512" s="317">
        <v>1000</v>
      </c>
      <c r="H3512" s="267" t="s">
        <v>1918</v>
      </c>
      <c r="I3512" s="326">
        <v>1.05</v>
      </c>
      <c r="J3512" s="20"/>
      <c r="K3512" s="331">
        <f>+E3512*G3512*I3512</f>
        <v>4016250</v>
      </c>
      <c r="L3512" s="22" t="s">
        <v>213</v>
      </c>
      <c r="M3512" s="1146"/>
      <c r="N3512" s="1103"/>
      <c r="O3512"/>
      <c r="P3512" s="159"/>
      <c r="Q3512" s="147"/>
      <c r="R3512" s="149"/>
    </row>
    <row r="3513" spans="1:24" ht="30" customHeight="1">
      <c r="A3513" s="20"/>
      <c r="B3513" s="157"/>
      <c r="C3513" s="157"/>
      <c r="D3513" s="157"/>
      <c r="E3513" s="153"/>
      <c r="F3513" s="1174" t="s">
        <v>308</v>
      </c>
      <c r="G3513" s="1208" t="s">
        <v>309</v>
      </c>
      <c r="H3513" s="1208"/>
      <c r="I3513" s="1208"/>
      <c r="J3513" s="1208"/>
      <c r="K3513" s="123">
        <v>1.06</v>
      </c>
      <c r="L3513" s="10"/>
      <c r="M3513" s="1146"/>
      <c r="N3513" s="282"/>
      <c r="O3513"/>
      <c r="P3513" s="159"/>
      <c r="Q3513" s="147"/>
      <c r="R3513" s="149"/>
    </row>
    <row r="3514" spans="1:24" ht="30" customHeight="1">
      <c r="A3514" s="20"/>
      <c r="B3514" s="157"/>
      <c r="C3514" s="157"/>
      <c r="D3514" s="157"/>
      <c r="E3514" s="153"/>
      <c r="F3514" s="1175"/>
      <c r="G3514" s="1209" t="s">
        <v>310</v>
      </c>
      <c r="H3514" s="1209"/>
      <c r="I3514" s="1209"/>
      <c r="J3514" s="1209"/>
      <c r="K3514" s="123">
        <v>1.07</v>
      </c>
      <c r="L3514" s="10"/>
      <c r="M3514" s="1146"/>
      <c r="N3514" s="282"/>
      <c r="O3514" s="34"/>
      <c r="P3514" s="283"/>
      <c r="Q3514" s="282"/>
      <c r="R3514" s="284"/>
    </row>
    <row r="3515" spans="1:24" ht="30" customHeight="1">
      <c r="A3515" s="741"/>
      <c r="B3515" s="208"/>
      <c r="C3515" s="208"/>
      <c r="D3515" s="155"/>
      <c r="E3515" s="153"/>
      <c r="F3515" s="22"/>
      <c r="G3515" s="317"/>
      <c r="H3515" s="267"/>
      <c r="I3515" s="326"/>
      <c r="J3515" s="20" t="s">
        <v>289</v>
      </c>
      <c r="K3515" s="331">
        <f>+K3512*K3513/K3514</f>
        <v>3978714.9532710277</v>
      </c>
      <c r="L3515" s="20" t="s">
        <v>213</v>
      </c>
      <c r="M3515" s="1146"/>
      <c r="N3515" s="1103"/>
      <c r="O3515" s="34"/>
      <c r="P3515" s="283"/>
      <c r="Q3515" s="282"/>
      <c r="R3515" s="284"/>
    </row>
    <row r="3516" spans="1:24" ht="30" customHeight="1" thickBot="1">
      <c r="A3516" s="1676" t="s">
        <v>2743</v>
      </c>
      <c r="B3516" s="1677"/>
      <c r="C3516" s="1677"/>
      <c r="D3516" s="1678"/>
      <c r="E3516" s="18"/>
      <c r="F3516" s="18"/>
      <c r="G3516" s="160" t="s">
        <v>312</v>
      </c>
      <c r="H3516" s="18"/>
      <c r="I3516" s="18"/>
      <c r="J3516" s="139">
        <f>VLOOKUP(B3510,'Mil Cost Premiums for RUCs'!$A$4:$R$266,18,FALSE)</f>
        <v>1.1199953840399997</v>
      </c>
      <c r="K3516" s="23">
        <f>+K3515*J3516</f>
        <v>4456142.3820744734</v>
      </c>
      <c r="L3516" s="20" t="s">
        <v>213</v>
      </c>
      <c r="M3516" s="1146"/>
      <c r="N3516" s="1103"/>
      <c r="O3516"/>
      <c r="P3516" s="159"/>
      <c r="Q3516" s="147"/>
      <c r="R3516" s="149"/>
    </row>
    <row r="3517" spans="1:24" ht="30" customHeight="1" thickBot="1">
      <c r="A3517" s="1165"/>
      <c r="B3517" s="1166"/>
      <c r="C3517" s="1166"/>
      <c r="D3517" s="1166"/>
      <c r="E3517" s="1166"/>
      <c r="F3517" s="1166"/>
      <c r="G3517" s="1166"/>
      <c r="H3517" s="1166"/>
      <c r="I3517" s="1166"/>
      <c r="J3517" s="1166"/>
      <c r="K3517" s="1166"/>
      <c r="L3517" s="1167"/>
      <c r="M3517" s="1146"/>
      <c r="N3517" s="1103"/>
      <c r="O3517"/>
      <c r="P3517" s="159"/>
      <c r="Q3517" s="147"/>
      <c r="R3517" s="149"/>
    </row>
    <row r="3518" spans="1:24" ht="30" customHeight="1">
      <c r="A3518" s="81" t="s">
        <v>280</v>
      </c>
      <c r="B3518" s="82">
        <v>8114</v>
      </c>
      <c r="C3518" s="1197" t="s">
        <v>1919</v>
      </c>
      <c r="D3518" s="1198"/>
      <c r="E3518" s="74" t="s">
        <v>282</v>
      </c>
      <c r="F3518" s="75" t="s">
        <v>211</v>
      </c>
      <c r="G3518" s="58" t="s">
        <v>290</v>
      </c>
      <c r="H3518" s="76">
        <v>435</v>
      </c>
      <c r="I3518" s="74" t="s">
        <v>283</v>
      </c>
      <c r="J3518" s="1199" t="s">
        <v>2529</v>
      </c>
      <c r="K3518" s="1199"/>
      <c r="L3518" s="1200"/>
      <c r="M3518" s="1146"/>
      <c r="N3518" s="1103"/>
      <c r="O3518"/>
      <c r="P3518" s="159"/>
      <c r="Q3518" s="147"/>
      <c r="R3518" s="149"/>
    </row>
    <row r="3519" spans="1:24" ht="30" customHeight="1">
      <c r="A3519" s="79" t="s">
        <v>304</v>
      </c>
      <c r="B3519" s="1201" t="s">
        <v>330</v>
      </c>
      <c r="C3519" s="1202"/>
      <c r="D3519" s="1203"/>
      <c r="E3519" s="150" t="s">
        <v>295</v>
      </c>
      <c r="F3519" s="150" t="s">
        <v>331</v>
      </c>
      <c r="G3519" s="1204" t="s">
        <v>332</v>
      </c>
      <c r="H3519" s="1205"/>
      <c r="I3519" s="77" t="s">
        <v>305</v>
      </c>
      <c r="J3519" s="77"/>
      <c r="K3519" s="1303" t="s">
        <v>297</v>
      </c>
      <c r="L3519" s="1304"/>
      <c r="M3519" s="1146"/>
      <c r="N3519" s="1103"/>
      <c r="O3519"/>
      <c r="P3519" s="159"/>
      <c r="Q3519" s="147"/>
      <c r="R3519" s="149"/>
      <c r="T3519" s="38"/>
      <c r="U3519" s="38"/>
      <c r="V3519" s="38"/>
      <c r="W3519" s="38"/>
      <c r="X3519" s="38"/>
    </row>
    <row r="3520" spans="1:24" s="38" customFormat="1" ht="30" customHeight="1">
      <c r="A3520" s="647" t="s">
        <v>1189</v>
      </c>
      <c r="B3520" s="1176" t="s">
        <v>1920</v>
      </c>
      <c r="C3520" s="1177"/>
      <c r="D3520" s="1178"/>
      <c r="E3520" s="335">
        <f>(2800+6550)/2</f>
        <v>4675</v>
      </c>
      <c r="F3520" s="22" t="s">
        <v>211</v>
      </c>
      <c r="G3520" s="317"/>
      <c r="H3520" s="267"/>
      <c r="I3520" s="326">
        <v>1.05</v>
      </c>
      <c r="J3520" s="20"/>
      <c r="K3520" s="331">
        <f>+E3520*I3520</f>
        <v>4908.75</v>
      </c>
      <c r="L3520" s="22" t="s">
        <v>211</v>
      </c>
      <c r="M3520" s="1146"/>
      <c r="N3520" s="1103"/>
      <c r="P3520" s="159"/>
      <c r="Q3520" s="147"/>
      <c r="R3520" s="149"/>
      <c r="T3520"/>
      <c r="U3520"/>
      <c r="V3520"/>
      <c r="W3520"/>
      <c r="X3520"/>
    </row>
    <row r="3521" spans="1:24" ht="30" customHeight="1">
      <c r="A3521" s="20"/>
      <c r="B3521" s="157"/>
      <c r="C3521" s="157"/>
      <c r="D3521" s="157"/>
      <c r="E3521" s="153"/>
      <c r="F3521" s="1174" t="s">
        <v>308</v>
      </c>
      <c r="G3521" s="1208" t="s">
        <v>309</v>
      </c>
      <c r="H3521" s="1208"/>
      <c r="I3521" s="1208"/>
      <c r="J3521" s="1208"/>
      <c r="K3521" s="123">
        <v>1.06</v>
      </c>
      <c r="L3521" s="10"/>
      <c r="M3521" s="1146"/>
      <c r="N3521" s="1103"/>
      <c r="O3521"/>
      <c r="P3521" s="159"/>
      <c r="Q3521" s="147"/>
      <c r="R3521" s="149"/>
    </row>
    <row r="3522" spans="1:24" ht="30" customHeight="1">
      <c r="A3522" s="20"/>
      <c r="B3522" s="157"/>
      <c r="C3522" s="157"/>
      <c r="D3522" s="157"/>
      <c r="E3522" s="153"/>
      <c r="F3522" s="1175"/>
      <c r="G3522" s="1209" t="s">
        <v>310</v>
      </c>
      <c r="H3522" s="1209"/>
      <c r="I3522" s="1209"/>
      <c r="J3522" s="1209"/>
      <c r="K3522" s="123">
        <v>1.07</v>
      </c>
      <c r="L3522" s="10"/>
      <c r="M3522" s="1146"/>
      <c r="N3522" s="1103"/>
      <c r="O3522"/>
      <c r="P3522" s="159"/>
      <c r="Q3522" s="147"/>
      <c r="R3522" s="149"/>
    </row>
    <row r="3523" spans="1:24" ht="30" customHeight="1">
      <c r="A3523" s="741"/>
      <c r="B3523" s="208"/>
      <c r="C3523" s="208"/>
      <c r="D3523" s="155"/>
      <c r="E3523" s="153"/>
      <c r="F3523" s="22"/>
      <c r="G3523" s="317"/>
      <c r="H3523" s="267"/>
      <c r="I3523" s="326"/>
      <c r="J3523" s="20" t="s">
        <v>289</v>
      </c>
      <c r="K3523" s="331">
        <f>+K3520*K3521/K3522</f>
        <v>4862.8738317757015</v>
      </c>
      <c r="L3523" s="20" t="s">
        <v>211</v>
      </c>
      <c r="M3523" s="1146"/>
      <c r="N3523" s="282"/>
      <c r="O3523"/>
      <c r="P3523" s="159"/>
      <c r="Q3523" s="147"/>
      <c r="R3523" s="149"/>
    </row>
    <row r="3524" spans="1:24" ht="30" customHeight="1" thickBot="1">
      <c r="A3524" s="1676"/>
      <c r="B3524" s="1677"/>
      <c r="C3524" s="1677"/>
      <c r="D3524" s="1678"/>
      <c r="E3524" s="18"/>
      <c r="F3524" s="18"/>
      <c r="G3524" s="160" t="s">
        <v>312</v>
      </c>
      <c r="H3524" s="18"/>
      <c r="I3524" s="18"/>
      <c r="J3524" s="139">
        <f>VLOOKUP(B3518,'Mil Cost Premiums for RUCs'!$A$4:$R$266,18,FALSE)</f>
        <v>1.1199953840399997</v>
      </c>
      <c r="K3524" s="23">
        <f>+K3523*J3524</f>
        <v>5446.3962447576914</v>
      </c>
      <c r="L3524" s="20" t="s">
        <v>211</v>
      </c>
      <c r="M3524" s="1146"/>
      <c r="N3524" s="282"/>
      <c r="O3524" s="34"/>
      <c r="P3524" s="283"/>
      <c r="Q3524" s="282"/>
      <c r="R3524" s="284"/>
    </row>
    <row r="3525" spans="1:24" ht="30" customHeight="1" thickBot="1">
      <c r="A3525" s="1165"/>
      <c r="B3525" s="1166"/>
      <c r="C3525" s="1166"/>
      <c r="D3525" s="1166"/>
      <c r="E3525" s="1166"/>
      <c r="F3525" s="1166"/>
      <c r="G3525" s="1166"/>
      <c r="H3525" s="1166"/>
      <c r="I3525" s="1166"/>
      <c r="J3525" s="1166"/>
      <c r="K3525" s="1166"/>
      <c r="L3525" s="1167"/>
      <c r="M3525" s="1146"/>
      <c r="N3525" s="1103"/>
      <c r="O3525" s="34"/>
      <c r="P3525" s="283"/>
      <c r="Q3525" s="282"/>
      <c r="R3525" s="284"/>
    </row>
    <row r="3526" spans="1:24" ht="30" customHeight="1">
      <c r="A3526" s="81" t="s">
        <v>280</v>
      </c>
      <c r="B3526" s="82">
        <v>8115</v>
      </c>
      <c r="C3526" s="1197" t="s">
        <v>1921</v>
      </c>
      <c r="D3526" s="1198"/>
      <c r="E3526" s="74" t="s">
        <v>282</v>
      </c>
      <c r="F3526" s="75" t="s">
        <v>211</v>
      </c>
      <c r="G3526" s="58" t="s">
        <v>290</v>
      </c>
      <c r="H3526" s="76">
        <v>351</v>
      </c>
      <c r="I3526" s="74" t="s">
        <v>283</v>
      </c>
      <c r="J3526" s="1199" t="s">
        <v>2529</v>
      </c>
      <c r="K3526" s="1199"/>
      <c r="L3526" s="1200"/>
      <c r="M3526" s="1146"/>
      <c r="N3526" s="1103"/>
      <c r="O3526"/>
      <c r="P3526" s="159"/>
      <c r="Q3526" s="147"/>
      <c r="R3526" s="149"/>
    </row>
    <row r="3527" spans="1:24" ht="30" customHeight="1">
      <c r="A3527" s="79" t="s">
        <v>304</v>
      </c>
      <c r="B3527" s="1201" t="s">
        <v>330</v>
      </c>
      <c r="C3527" s="1202"/>
      <c r="D3527" s="1203"/>
      <c r="E3527" s="150" t="s">
        <v>295</v>
      </c>
      <c r="F3527" s="150" t="s">
        <v>331</v>
      </c>
      <c r="G3527" s="1204" t="s">
        <v>332</v>
      </c>
      <c r="H3527" s="1205"/>
      <c r="I3527" s="77" t="s">
        <v>305</v>
      </c>
      <c r="J3527" s="77"/>
      <c r="K3527" s="1303" t="s">
        <v>297</v>
      </c>
      <c r="L3527" s="1304"/>
      <c r="M3527" s="1146"/>
      <c r="N3527" s="1103"/>
      <c r="O3527"/>
      <c r="P3527" s="159"/>
      <c r="Q3527" s="147"/>
      <c r="R3527" s="149"/>
    </row>
    <row r="3528" spans="1:24" ht="30" customHeight="1">
      <c r="A3528" s="647" t="s">
        <v>1922</v>
      </c>
      <c r="B3528" s="1176" t="s">
        <v>1923</v>
      </c>
      <c r="C3528" s="1177"/>
      <c r="D3528" s="1178"/>
      <c r="E3528" s="335">
        <f>2950*1000</f>
        <v>2950000</v>
      </c>
      <c r="F3528" s="22" t="s">
        <v>1924</v>
      </c>
      <c r="G3528" s="317">
        <v>300</v>
      </c>
      <c r="H3528" s="267" t="s">
        <v>1925</v>
      </c>
      <c r="I3528" s="326">
        <v>1.07</v>
      </c>
      <c r="J3528" s="20"/>
      <c r="K3528" s="331">
        <f>+E3528/G3528*I3528</f>
        <v>10521.666666666668</v>
      </c>
      <c r="L3528" s="22" t="s">
        <v>211</v>
      </c>
      <c r="M3528" s="1146"/>
      <c r="N3528" s="1103"/>
      <c r="O3528"/>
      <c r="P3528" s="159"/>
      <c r="Q3528" s="147"/>
      <c r="R3528" s="149"/>
    </row>
    <row r="3529" spans="1:24" ht="30" customHeight="1">
      <c r="A3529" s="647" t="s">
        <v>1922</v>
      </c>
      <c r="B3529" s="1179" t="s">
        <v>1926</v>
      </c>
      <c r="C3529" s="1180"/>
      <c r="D3529" s="1181"/>
      <c r="E3529" s="153">
        <v>197000</v>
      </c>
      <c r="F3529" s="22" t="s">
        <v>211</v>
      </c>
      <c r="G3529" s="317">
        <v>300</v>
      </c>
      <c r="H3529" s="267" t="s">
        <v>1925</v>
      </c>
      <c r="I3529" s="326">
        <v>1.07</v>
      </c>
      <c r="J3529" s="20"/>
      <c r="K3529" s="331">
        <f>+E3529/G3529*I3529</f>
        <v>702.63333333333333</v>
      </c>
      <c r="L3529" s="20" t="s">
        <v>211</v>
      </c>
      <c r="M3529" s="1146"/>
      <c r="N3529" s="1103"/>
      <c r="O3529"/>
      <c r="P3529" s="159"/>
      <c r="Q3529" s="147"/>
      <c r="R3529" s="149"/>
      <c r="T3529" s="38"/>
      <c r="U3529" s="38"/>
      <c r="V3529" s="38"/>
      <c r="W3529" s="38"/>
      <c r="X3529" s="38"/>
    </row>
    <row r="3530" spans="1:24" s="38" customFormat="1" ht="30" customHeight="1">
      <c r="A3530" s="647" t="s">
        <v>1922</v>
      </c>
      <c r="B3530" s="1179" t="s">
        <v>1927</v>
      </c>
      <c r="C3530" s="1180"/>
      <c r="D3530" s="1181"/>
      <c r="E3530" s="153">
        <f>720*20</f>
        <v>14400</v>
      </c>
      <c r="F3530" s="22" t="s">
        <v>1928</v>
      </c>
      <c r="G3530" s="317">
        <v>300</v>
      </c>
      <c r="H3530" s="267" t="s">
        <v>1925</v>
      </c>
      <c r="I3530" s="326">
        <v>1.07</v>
      </c>
      <c r="J3530" s="20"/>
      <c r="K3530" s="331">
        <f>+E3530/G3530*I3530</f>
        <v>51.36</v>
      </c>
      <c r="L3530" s="20" t="s">
        <v>211</v>
      </c>
      <c r="M3530" s="1146"/>
      <c r="N3530" s="1103"/>
      <c r="P3530" s="159"/>
      <c r="Q3530" s="147"/>
      <c r="R3530" s="149"/>
      <c r="T3530"/>
      <c r="U3530"/>
      <c r="V3530"/>
      <c r="W3530"/>
      <c r="X3530"/>
    </row>
    <row r="3531" spans="1:24" ht="30" customHeight="1">
      <c r="A3531" s="647" t="s">
        <v>1922</v>
      </c>
      <c r="B3531" s="1179" t="s">
        <v>1929</v>
      </c>
      <c r="C3531" s="1180"/>
      <c r="D3531" s="1181"/>
      <c r="E3531" s="153">
        <f>7600*10</f>
        <v>76000</v>
      </c>
      <c r="F3531" s="22" t="s">
        <v>1930</v>
      </c>
      <c r="G3531" s="317">
        <v>300</v>
      </c>
      <c r="H3531" s="267" t="s">
        <v>1925</v>
      </c>
      <c r="I3531" s="326">
        <v>1.07</v>
      </c>
      <c r="J3531" s="20"/>
      <c r="K3531" s="331">
        <f>+E3531/G3531*I3531</f>
        <v>271.06666666666672</v>
      </c>
      <c r="L3531" s="20" t="s">
        <v>211</v>
      </c>
      <c r="M3531" s="1146"/>
      <c r="N3531" s="1103"/>
      <c r="O3531"/>
      <c r="P3531" s="159"/>
      <c r="Q3531" s="147"/>
      <c r="R3531" s="149"/>
    </row>
    <row r="3532" spans="1:24" ht="30" customHeight="1">
      <c r="A3532" s="741"/>
      <c r="B3532" s="208"/>
      <c r="C3532" s="208"/>
      <c r="D3532" s="155"/>
      <c r="E3532" s="153"/>
      <c r="F3532" s="22"/>
      <c r="G3532" s="317"/>
      <c r="H3532" s="267"/>
      <c r="I3532" s="326"/>
      <c r="J3532" s="20" t="s">
        <v>346</v>
      </c>
      <c r="K3532" s="331">
        <f>SUM(K3528:K3531)</f>
        <v>11546.726666666669</v>
      </c>
      <c r="L3532" s="20" t="s">
        <v>211</v>
      </c>
      <c r="M3532" s="1146"/>
      <c r="N3532" s="1103"/>
      <c r="O3532"/>
      <c r="P3532" s="159"/>
      <c r="Q3532" s="147"/>
      <c r="R3532" s="149"/>
    </row>
    <row r="3533" spans="1:24" ht="30" customHeight="1">
      <c r="A3533" s="20"/>
      <c r="B3533" s="157"/>
      <c r="C3533" s="157"/>
      <c r="D3533" s="157"/>
      <c r="E3533" s="153"/>
      <c r="F3533" s="1174" t="s">
        <v>308</v>
      </c>
      <c r="G3533" s="1208" t="s">
        <v>309</v>
      </c>
      <c r="H3533" s="1208"/>
      <c r="I3533" s="1208"/>
      <c r="J3533" s="1208"/>
      <c r="K3533" s="123">
        <v>1.06</v>
      </c>
      <c r="L3533" s="10"/>
      <c r="M3533" s="1146"/>
      <c r="N3533" s="282"/>
      <c r="O3533"/>
      <c r="P3533" s="159"/>
      <c r="Q3533" s="147"/>
      <c r="R3533" s="149"/>
    </row>
    <row r="3534" spans="1:24" ht="30" customHeight="1">
      <c r="A3534" s="20"/>
      <c r="B3534" s="157"/>
      <c r="C3534" s="157"/>
      <c r="D3534" s="157"/>
      <c r="E3534" s="153"/>
      <c r="F3534" s="1175"/>
      <c r="G3534" s="1209" t="s">
        <v>310</v>
      </c>
      <c r="H3534" s="1209"/>
      <c r="I3534" s="1209"/>
      <c r="J3534" s="1209"/>
      <c r="K3534" s="123">
        <v>1.07</v>
      </c>
      <c r="L3534" s="10"/>
      <c r="M3534" s="1146"/>
      <c r="N3534" s="282"/>
      <c r="O3534" s="34"/>
      <c r="P3534" s="283"/>
      <c r="Q3534" s="282"/>
      <c r="R3534" s="284"/>
    </row>
    <row r="3535" spans="1:24" ht="30" customHeight="1">
      <c r="A3535" s="741"/>
      <c r="B3535" s="208"/>
      <c r="C3535" s="208"/>
      <c r="D3535" s="155"/>
      <c r="E3535" s="153"/>
      <c r="F3535" s="22"/>
      <c r="G3535" s="317"/>
      <c r="H3535" s="267"/>
      <c r="I3535" s="326"/>
      <c r="J3535" s="20" t="s">
        <v>289</v>
      </c>
      <c r="K3535" s="331">
        <f>+K3532*K3533/K3534</f>
        <v>11438.813333333335</v>
      </c>
      <c r="L3535" s="20" t="s">
        <v>211</v>
      </c>
      <c r="M3535" s="1146"/>
      <c r="N3535" s="1103"/>
      <c r="O3535" s="34"/>
      <c r="P3535" s="283"/>
      <c r="Q3535" s="282"/>
      <c r="R3535" s="284"/>
    </row>
    <row r="3536" spans="1:24" ht="30" customHeight="1" thickBot="1">
      <c r="A3536" s="1676" t="s">
        <v>1931</v>
      </c>
      <c r="B3536" s="1677"/>
      <c r="C3536" s="1677"/>
      <c r="D3536" s="1678"/>
      <c r="E3536" s="18"/>
      <c r="F3536" s="18"/>
      <c r="G3536" s="160" t="s">
        <v>312</v>
      </c>
      <c r="H3536" s="18"/>
      <c r="I3536" s="18"/>
      <c r="J3536" s="139">
        <f>VLOOKUP(B3526,'Mil Cost Premiums for RUCs'!$A$4:$R$266,18,FALSE)</f>
        <v>1.1199953840399997</v>
      </c>
      <c r="K3536" s="23">
        <f>+K3532*J3536</f>
        <v>12932.280567438242</v>
      </c>
      <c r="L3536" s="20" t="s">
        <v>211</v>
      </c>
      <c r="M3536" s="1146"/>
      <c r="N3536" s="1103"/>
      <c r="O3536"/>
      <c r="P3536" s="159"/>
      <c r="Q3536" s="147"/>
      <c r="R3536" s="149"/>
    </row>
    <row r="3537" spans="1:24" ht="30" customHeight="1" thickBot="1">
      <c r="A3537" s="1165"/>
      <c r="B3537" s="1166"/>
      <c r="C3537" s="1166"/>
      <c r="D3537" s="1166"/>
      <c r="E3537" s="1166"/>
      <c r="F3537" s="1166"/>
      <c r="G3537" s="1166"/>
      <c r="H3537" s="1166"/>
      <c r="I3537" s="1166"/>
      <c r="J3537" s="1166"/>
      <c r="K3537" s="1166"/>
      <c r="L3537" s="1167"/>
      <c r="M3537" s="1146"/>
      <c r="N3537" s="1103"/>
      <c r="O3537"/>
      <c r="P3537" s="159"/>
      <c r="Q3537" s="147"/>
      <c r="R3537" s="149"/>
    </row>
    <row r="3538" spans="1:24" ht="30" customHeight="1">
      <c r="A3538" s="81" t="s">
        <v>280</v>
      </c>
      <c r="B3538" s="82">
        <v>8121</v>
      </c>
      <c r="C3538" s="1228" t="s">
        <v>1932</v>
      </c>
      <c r="D3538" s="1229"/>
      <c r="E3538" s="74" t="s">
        <v>282</v>
      </c>
      <c r="F3538" s="75" t="s">
        <v>6</v>
      </c>
      <c r="G3538" s="58" t="s">
        <v>290</v>
      </c>
      <c r="H3538" s="104">
        <v>47350</v>
      </c>
      <c r="I3538" s="74" t="s">
        <v>283</v>
      </c>
      <c r="J3538" s="1199" t="s">
        <v>2569</v>
      </c>
      <c r="K3538" s="1199"/>
      <c r="L3538" s="1200"/>
      <c r="M3538" s="1146"/>
      <c r="N3538" s="657"/>
      <c r="O3538"/>
      <c r="P3538" s="159"/>
      <c r="Q3538" s="147"/>
      <c r="R3538" s="149"/>
    </row>
    <row r="3539" spans="1:24" ht="30" customHeight="1">
      <c r="A3539" s="77" t="s">
        <v>293</v>
      </c>
      <c r="B3539" s="1232" t="s">
        <v>284</v>
      </c>
      <c r="C3539" s="1232"/>
      <c r="D3539" s="1232"/>
      <c r="E3539" s="96" t="s">
        <v>1933</v>
      </c>
      <c r="F3539" s="77" t="s">
        <v>294</v>
      </c>
      <c r="G3539" s="1365" t="s">
        <v>332</v>
      </c>
      <c r="H3539" s="1366"/>
      <c r="I3539" s="1233" t="s">
        <v>296</v>
      </c>
      <c r="J3539" s="1234"/>
      <c r="K3539" s="1303" t="s">
        <v>297</v>
      </c>
      <c r="L3539" s="1304"/>
      <c r="M3539" s="1146"/>
      <c r="N3539" s="1103"/>
      <c r="O3539"/>
      <c r="P3539" s="159"/>
      <c r="Q3539" s="147"/>
      <c r="R3539" s="149"/>
      <c r="T3539" s="38"/>
      <c r="U3539" s="38"/>
      <c r="V3539" s="38"/>
      <c r="W3539" s="38"/>
      <c r="X3539" s="38"/>
    </row>
    <row r="3540" spans="1:24" s="38" customFormat="1" ht="30" customHeight="1">
      <c r="A3540" s="20">
        <v>81241</v>
      </c>
      <c r="B3540" s="1176" t="s">
        <v>2781</v>
      </c>
      <c r="C3540" s="1177"/>
      <c r="D3540" s="1178"/>
      <c r="E3540" s="153">
        <v>49410</v>
      </c>
      <c r="F3540" s="316">
        <v>1000</v>
      </c>
      <c r="G3540" s="317">
        <v>1000</v>
      </c>
      <c r="H3540" s="267" t="s">
        <v>1934</v>
      </c>
      <c r="I3540" s="1546">
        <f>+'2019 MILCON Inflation Table'!$F$18</f>
        <v>0.94232233454704462</v>
      </c>
      <c r="J3540" s="1547"/>
      <c r="K3540" s="106">
        <f>+E3540/G3540*I3540</f>
        <v>46.560146549969474</v>
      </c>
      <c r="L3540" s="97" t="s">
        <v>6</v>
      </c>
      <c r="M3540" s="1146"/>
      <c r="N3540" s="1103"/>
      <c r="P3540" s="159"/>
      <c r="Q3540" s="147"/>
      <c r="R3540" s="149"/>
      <c r="T3540"/>
      <c r="U3540"/>
      <c r="V3540"/>
      <c r="W3540"/>
      <c r="X3540"/>
    </row>
    <row r="3541" spans="1:24" ht="30" customHeight="1">
      <c r="A3541" s="20">
        <v>81241</v>
      </c>
      <c r="B3541" s="1176" t="s">
        <v>1935</v>
      </c>
      <c r="C3541" s="1177"/>
      <c r="D3541" s="1178"/>
      <c r="E3541" s="153">
        <v>46440</v>
      </c>
      <c r="F3541" s="316">
        <v>1000</v>
      </c>
      <c r="G3541" s="317">
        <v>1000</v>
      </c>
      <c r="H3541" s="267" t="s">
        <v>1934</v>
      </c>
      <c r="I3541" s="1546">
        <f>+'2019 MILCON Inflation Table'!$F$18</f>
        <v>0.94232233454704462</v>
      </c>
      <c r="J3541" s="1547"/>
      <c r="K3541" s="106">
        <f>+E3541/G3541*I3541</f>
        <v>43.761449216364753</v>
      </c>
      <c r="L3541" s="97" t="s">
        <v>6</v>
      </c>
      <c r="M3541" s="1146"/>
      <c r="N3541" s="1103"/>
      <c r="O3541"/>
      <c r="P3541" s="159"/>
      <c r="Q3541" s="147"/>
      <c r="R3541" s="149"/>
    </row>
    <row r="3542" spans="1:24" ht="30" customHeight="1">
      <c r="A3542" s="20"/>
      <c r="B3542" s="207"/>
      <c r="C3542" s="208"/>
      <c r="D3542" s="155"/>
      <c r="E3542" s="287"/>
      <c r="F3542" s="527"/>
      <c r="G3542" s="272"/>
      <c r="H3542" s="267"/>
      <c r="I3542" s="530"/>
      <c r="J3542" s="339" t="s">
        <v>311</v>
      </c>
      <c r="K3542" s="106">
        <f>AVERAGE(K3540:K3541)</f>
        <v>45.160797883167113</v>
      </c>
      <c r="L3542" s="97" t="s">
        <v>6</v>
      </c>
      <c r="M3542" s="1146"/>
      <c r="N3542" s="1103"/>
      <c r="O3542"/>
      <c r="P3542" s="159"/>
      <c r="Q3542" s="147"/>
      <c r="R3542" s="149"/>
    </row>
    <row r="3543" spans="1:24" ht="30" customHeight="1" thickBot="1">
      <c r="A3543" s="20"/>
      <c r="B3543" s="1179"/>
      <c r="C3543" s="1180"/>
      <c r="D3543" s="1181"/>
      <c r="E3543" s="181"/>
      <c r="F3543" s="338"/>
      <c r="G3543" s="181"/>
      <c r="H3543" s="339"/>
      <c r="I3543" s="18"/>
      <c r="J3543" s="79" t="s">
        <v>289</v>
      </c>
      <c r="K3543" s="107">
        <f>+K3542</f>
        <v>45.160797883167113</v>
      </c>
      <c r="L3543" s="97" t="s">
        <v>6</v>
      </c>
      <c r="M3543" s="1146"/>
      <c r="N3543" s="282"/>
      <c r="O3543"/>
      <c r="P3543" s="159"/>
      <c r="Q3543" s="147"/>
      <c r="R3543" s="149"/>
    </row>
    <row r="3544" spans="1:24" ht="30" customHeight="1" thickBot="1">
      <c r="A3544" s="1165"/>
      <c r="B3544" s="1166"/>
      <c r="C3544" s="1166"/>
      <c r="D3544" s="1166"/>
      <c r="E3544" s="1166"/>
      <c r="F3544" s="1166"/>
      <c r="G3544" s="1166"/>
      <c r="H3544" s="1166"/>
      <c r="I3544" s="1166"/>
      <c r="J3544" s="1166"/>
      <c r="K3544" s="1166"/>
      <c r="L3544" s="1167"/>
      <c r="M3544" s="1146"/>
      <c r="N3544" s="282"/>
      <c r="O3544" s="34"/>
      <c r="P3544" s="283"/>
      <c r="Q3544" s="282"/>
      <c r="R3544" s="284"/>
    </row>
    <row r="3545" spans="1:24" ht="30" customHeight="1">
      <c r="A3545" s="27" t="s">
        <v>280</v>
      </c>
      <c r="B3545" s="28">
        <v>8122</v>
      </c>
      <c r="C3545" s="744" t="s">
        <v>1936</v>
      </c>
      <c r="D3545" s="186"/>
      <c r="E3545" s="74" t="s">
        <v>282</v>
      </c>
      <c r="F3545" s="75" t="s">
        <v>10</v>
      </c>
      <c r="G3545" s="181" t="s">
        <v>281</v>
      </c>
      <c r="H3545" s="674">
        <v>1</v>
      </c>
      <c r="I3545" s="74" t="s">
        <v>283</v>
      </c>
      <c r="J3545" s="1199" t="s">
        <v>2529</v>
      </c>
      <c r="K3545" s="1199"/>
      <c r="L3545" s="1200"/>
      <c r="M3545" s="1146"/>
      <c r="N3545" s="1103"/>
      <c r="O3545" s="34"/>
      <c r="P3545" s="283"/>
      <c r="Q3545" s="282"/>
      <c r="R3545" s="284"/>
    </row>
    <row r="3546" spans="1:24" ht="30" customHeight="1">
      <c r="A3546" s="37" t="s">
        <v>304</v>
      </c>
      <c r="B3546" s="1300" t="s">
        <v>330</v>
      </c>
      <c r="C3546" s="1301"/>
      <c r="D3546" s="1302"/>
      <c r="E3546" s="150" t="s">
        <v>295</v>
      </c>
      <c r="F3546" s="150" t="s">
        <v>331</v>
      </c>
      <c r="G3546" s="1679" t="s">
        <v>332</v>
      </c>
      <c r="H3546" s="1680"/>
      <c r="I3546" s="77" t="s">
        <v>305</v>
      </c>
      <c r="J3546" s="77"/>
      <c r="K3546" s="1303" t="s">
        <v>297</v>
      </c>
      <c r="L3546" s="1304"/>
      <c r="M3546" s="1146"/>
      <c r="N3546" s="1103"/>
      <c r="O3546"/>
      <c r="P3546" s="159"/>
      <c r="Q3546" s="147"/>
      <c r="R3546" s="149"/>
    </row>
    <row r="3547" spans="1:24" ht="30" customHeight="1">
      <c r="A3547" s="45" t="s">
        <v>342</v>
      </c>
      <c r="B3547" s="1307" t="s">
        <v>1937</v>
      </c>
      <c r="C3547" s="1307"/>
      <c r="D3547" s="1307"/>
      <c r="E3547" s="153">
        <v>2900</v>
      </c>
      <c r="F3547" s="317" t="s">
        <v>10</v>
      </c>
      <c r="G3547" s="154"/>
      <c r="H3547" s="155"/>
      <c r="I3547" s="267">
        <v>1.05</v>
      </c>
      <c r="J3547" s="20"/>
      <c r="K3547" s="153">
        <f>+E3547*I3547</f>
        <v>3045</v>
      </c>
      <c r="L3547" s="20" t="s">
        <v>10</v>
      </c>
      <c r="M3547" s="1146"/>
      <c r="N3547" s="1103"/>
      <c r="O3547"/>
      <c r="P3547" s="159"/>
      <c r="Q3547" s="147"/>
      <c r="R3547" s="149"/>
    </row>
    <row r="3548" spans="1:24" ht="30" customHeight="1">
      <c r="A3548" s="45"/>
      <c r="B3548" s="189"/>
      <c r="C3548" s="189"/>
      <c r="D3548" s="189"/>
      <c r="E3548" s="153"/>
      <c r="F3548" s="1174" t="s">
        <v>308</v>
      </c>
      <c r="G3548" s="1208" t="s">
        <v>309</v>
      </c>
      <c r="H3548" s="1208"/>
      <c r="I3548" s="1208"/>
      <c r="J3548" s="1208"/>
      <c r="K3548" s="123">
        <v>1.06</v>
      </c>
      <c r="L3548" s="10"/>
      <c r="M3548" s="1146"/>
      <c r="N3548" s="1103"/>
      <c r="O3548"/>
      <c r="P3548" s="159"/>
      <c r="Q3548" s="147"/>
      <c r="R3548" s="149"/>
    </row>
    <row r="3549" spans="1:24" ht="30" customHeight="1">
      <c r="A3549" s="45"/>
      <c r="B3549" s="189"/>
      <c r="C3549" s="189"/>
      <c r="D3549" s="189"/>
      <c r="E3549" s="153"/>
      <c r="F3549" s="1175"/>
      <c r="G3549" s="1209" t="s">
        <v>310</v>
      </c>
      <c r="H3549" s="1209"/>
      <c r="I3549" s="1209"/>
      <c r="J3549" s="1209"/>
      <c r="K3549" s="123">
        <v>1.07</v>
      </c>
      <c r="L3549" s="10"/>
      <c r="M3549" s="1146"/>
      <c r="N3549" s="1103"/>
      <c r="O3549"/>
      <c r="P3549" s="159"/>
      <c r="Q3549" s="147"/>
      <c r="R3549" s="149"/>
      <c r="T3549" s="38"/>
      <c r="U3549" s="38"/>
      <c r="V3549" s="38"/>
      <c r="W3549" s="38"/>
      <c r="X3549" s="38"/>
    </row>
    <row r="3550" spans="1:24" s="38" customFormat="1" ht="30" customHeight="1">
      <c r="A3550" s="45"/>
      <c r="B3550" s="45"/>
      <c r="C3550" s="46"/>
      <c r="D3550" s="46"/>
      <c r="E3550" s="18"/>
      <c r="F3550" s="18"/>
      <c r="G3550" s="90"/>
      <c r="H3550" s="90"/>
      <c r="I3550" s="18"/>
      <c r="J3550" s="18" t="s">
        <v>289</v>
      </c>
      <c r="K3550" s="23">
        <f>+K3547*K3548/K3549</f>
        <v>3016.5420560747666</v>
      </c>
      <c r="L3550" s="20" t="s">
        <v>10</v>
      </c>
      <c r="M3550" s="1146"/>
      <c r="N3550" s="1103"/>
      <c r="P3550" s="159"/>
      <c r="Q3550" s="147"/>
      <c r="R3550" s="149"/>
      <c r="T3550"/>
      <c r="U3550"/>
      <c r="V3550"/>
      <c r="W3550"/>
      <c r="X3550"/>
    </row>
    <row r="3551" spans="1:24" ht="30" customHeight="1" thickBot="1">
      <c r="A3551" s="45"/>
      <c r="B3551" s="45"/>
      <c r="C3551" s="46"/>
      <c r="D3551" s="46"/>
      <c r="E3551" s="18"/>
      <c r="F3551" s="18"/>
      <c r="G3551" s="160" t="s">
        <v>312</v>
      </c>
      <c r="H3551" s="18"/>
      <c r="I3551" s="18"/>
      <c r="J3551" s="139">
        <f>VLOOKUP(B3545,'Mil Cost Premiums for RUCs'!$A$4:$R$266,18,FALSE)</f>
        <v>1.0905505199999999</v>
      </c>
      <c r="K3551" s="23">
        <f>+K3550*J3551</f>
        <v>3289.6915078542056</v>
      </c>
      <c r="L3551" s="20" t="s">
        <v>10</v>
      </c>
      <c r="M3551" s="1146"/>
      <c r="N3551" s="704"/>
      <c r="O3551"/>
      <c r="P3551" s="159"/>
      <c r="Q3551" s="147"/>
      <c r="R3551" s="149"/>
    </row>
    <row r="3552" spans="1:24" ht="30" customHeight="1" thickBot="1">
      <c r="A3552" s="1165"/>
      <c r="B3552" s="1166"/>
      <c r="C3552" s="1166"/>
      <c r="D3552" s="1166"/>
      <c r="E3552" s="1166"/>
      <c r="F3552" s="1166"/>
      <c r="G3552" s="1166"/>
      <c r="H3552" s="1166"/>
      <c r="I3552" s="1166"/>
      <c r="J3552" s="1166"/>
      <c r="K3552" s="1166"/>
      <c r="L3552" s="1167"/>
      <c r="M3552" s="1146"/>
      <c r="N3552" s="1103"/>
      <c r="O3552"/>
      <c r="P3552" s="159"/>
      <c r="Q3552" s="147"/>
      <c r="R3552" s="149"/>
    </row>
    <row r="3553" spans="1:24" ht="30" customHeight="1">
      <c r="A3553" s="81" t="s">
        <v>280</v>
      </c>
      <c r="B3553" s="82">
        <v>8123</v>
      </c>
      <c r="C3553" s="1228" t="s">
        <v>1938</v>
      </c>
      <c r="D3553" s="1229"/>
      <c r="E3553" s="74" t="s">
        <v>282</v>
      </c>
      <c r="F3553" s="75" t="s">
        <v>6</v>
      </c>
      <c r="G3553" s="58" t="s">
        <v>290</v>
      </c>
      <c r="H3553" s="104">
        <v>19767</v>
      </c>
      <c r="I3553" s="74" t="s">
        <v>283</v>
      </c>
      <c r="J3553" s="1199" t="s">
        <v>2569</v>
      </c>
      <c r="K3553" s="1199"/>
      <c r="L3553" s="1200"/>
      <c r="M3553" s="1146"/>
      <c r="N3553" s="282"/>
      <c r="O3553"/>
      <c r="P3553" s="159"/>
      <c r="Q3553" s="147"/>
      <c r="R3553" s="149"/>
    </row>
    <row r="3554" spans="1:24" ht="30" customHeight="1">
      <c r="A3554" s="77" t="s">
        <v>293</v>
      </c>
      <c r="B3554" s="1232" t="s">
        <v>284</v>
      </c>
      <c r="C3554" s="1232"/>
      <c r="D3554" s="1232"/>
      <c r="E3554" s="96" t="s">
        <v>1939</v>
      </c>
      <c r="F3554" s="1066" t="s">
        <v>294</v>
      </c>
      <c r="G3554" s="1365" t="s">
        <v>332</v>
      </c>
      <c r="H3554" s="1366"/>
      <c r="I3554" s="1233" t="s">
        <v>296</v>
      </c>
      <c r="J3554" s="1234"/>
      <c r="K3554" s="1303" t="s">
        <v>297</v>
      </c>
      <c r="L3554" s="1304"/>
      <c r="M3554" s="1146"/>
      <c r="N3554" s="282"/>
      <c r="O3554" s="34"/>
      <c r="P3554" s="283"/>
      <c r="Q3554" s="282"/>
      <c r="R3554" s="284"/>
    </row>
    <row r="3555" spans="1:24" ht="30" customHeight="1">
      <c r="A3555" s="20">
        <v>81242</v>
      </c>
      <c r="B3555" s="1176" t="s">
        <v>1940</v>
      </c>
      <c r="C3555" s="1177"/>
      <c r="D3555" s="1178"/>
      <c r="E3555" s="153">
        <v>19.5</v>
      </c>
      <c r="F3555" s="1086">
        <v>1</v>
      </c>
      <c r="G3555" s="317"/>
      <c r="H3555" s="267"/>
      <c r="I3555" s="1546">
        <f>+'2019 MILCON Inflation Table'!$F$16</f>
        <v>0.98039215686274506</v>
      </c>
      <c r="J3555" s="1547"/>
      <c r="K3555" s="106">
        <f t="shared" ref="K3555:K3560" si="60">+E3555*I3555</f>
        <v>19.117647058823529</v>
      </c>
      <c r="L3555" s="97" t="s">
        <v>6</v>
      </c>
      <c r="M3555" s="1146"/>
      <c r="N3555" s="1103"/>
      <c r="O3555" s="34"/>
      <c r="P3555" s="283"/>
      <c r="Q3555" s="282"/>
      <c r="R3555" s="284"/>
    </row>
    <row r="3556" spans="1:24" ht="30" customHeight="1">
      <c r="A3556" s="20">
        <v>81242</v>
      </c>
      <c r="B3556" s="1176" t="s">
        <v>1941</v>
      </c>
      <c r="C3556" s="1177"/>
      <c r="D3556" s="1178"/>
      <c r="E3556" s="153">
        <v>28.7</v>
      </c>
      <c r="F3556" s="316">
        <v>1</v>
      </c>
      <c r="G3556" s="317"/>
      <c r="H3556" s="267"/>
      <c r="I3556" s="1546">
        <f>+'2019 MILCON Inflation Table'!$F$16</f>
        <v>0.98039215686274506</v>
      </c>
      <c r="J3556" s="1547"/>
      <c r="K3556" s="106">
        <f t="shared" si="60"/>
        <v>28.137254901960784</v>
      </c>
      <c r="L3556" s="97" t="s">
        <v>6</v>
      </c>
      <c r="M3556" s="1146"/>
      <c r="N3556" s="1103"/>
      <c r="O3556"/>
      <c r="P3556" s="159"/>
      <c r="Q3556" s="147"/>
      <c r="R3556" s="149"/>
    </row>
    <row r="3557" spans="1:24" ht="30" customHeight="1">
      <c r="A3557" s="20">
        <v>81242</v>
      </c>
      <c r="B3557" s="1176" t="s">
        <v>1942</v>
      </c>
      <c r="C3557" s="1177"/>
      <c r="D3557" s="1178"/>
      <c r="E3557" s="714">
        <v>20.100000000000001</v>
      </c>
      <c r="F3557" s="316">
        <v>1</v>
      </c>
      <c r="G3557" s="317"/>
      <c r="H3557" s="267"/>
      <c r="I3557" s="1546">
        <f>+'2019 MILCON Inflation Table'!$F$18</f>
        <v>0.94232233454704462</v>
      </c>
      <c r="J3557" s="1547"/>
      <c r="K3557" s="106">
        <f t="shared" si="60"/>
        <v>18.940678924395598</v>
      </c>
      <c r="L3557" s="97" t="s">
        <v>6</v>
      </c>
      <c r="M3557" s="1146"/>
      <c r="N3557" s="1103"/>
      <c r="O3557"/>
      <c r="P3557" s="159"/>
      <c r="Q3557" s="147"/>
      <c r="R3557" s="149"/>
    </row>
    <row r="3558" spans="1:24" ht="30" customHeight="1">
      <c r="A3558" s="20">
        <v>81242</v>
      </c>
      <c r="B3558" s="1176" t="s">
        <v>1943</v>
      </c>
      <c r="C3558" s="1177"/>
      <c r="D3558" s="1178"/>
      <c r="E3558" s="714">
        <v>35.299999999999997</v>
      </c>
      <c r="F3558" s="316">
        <v>1</v>
      </c>
      <c r="G3558" s="317"/>
      <c r="H3558" s="267"/>
      <c r="I3558" s="1546">
        <f>+'2019 MILCON Inflation Table'!$F$18</f>
        <v>0.94232233454704462</v>
      </c>
      <c r="J3558" s="1547"/>
      <c r="K3558" s="106">
        <f t="shared" si="60"/>
        <v>33.263978409510671</v>
      </c>
      <c r="L3558" s="97" t="s">
        <v>6</v>
      </c>
      <c r="M3558" s="1146"/>
      <c r="N3558" s="1103"/>
      <c r="O3558"/>
      <c r="P3558" s="159"/>
      <c r="Q3558" s="147"/>
      <c r="R3558" s="149"/>
    </row>
    <row r="3559" spans="1:24" ht="30" customHeight="1">
      <c r="A3559" s="20">
        <v>81242</v>
      </c>
      <c r="B3559" s="1176" t="s">
        <v>1944</v>
      </c>
      <c r="C3559" s="1177"/>
      <c r="D3559" s="1178"/>
      <c r="E3559" s="23">
        <v>31</v>
      </c>
      <c r="F3559" s="316">
        <v>1</v>
      </c>
      <c r="G3559" s="317"/>
      <c r="H3559" s="267"/>
      <c r="I3559" s="1546">
        <f>+'2019 MILCON Inflation Table'!$F$18</f>
        <v>0.94232233454704462</v>
      </c>
      <c r="J3559" s="1547"/>
      <c r="K3559" s="106">
        <f t="shared" si="60"/>
        <v>29.211992370958384</v>
      </c>
      <c r="L3559" s="97" t="s">
        <v>6</v>
      </c>
      <c r="M3559" s="1146"/>
      <c r="N3559" s="657"/>
      <c r="O3559"/>
      <c r="P3559" s="159"/>
      <c r="Q3559" s="147"/>
      <c r="R3559" s="149"/>
      <c r="T3559" s="38"/>
      <c r="U3559" s="38"/>
      <c r="V3559" s="38"/>
      <c r="W3559" s="38"/>
      <c r="X3559" s="38"/>
    </row>
    <row r="3560" spans="1:24" s="38" customFormat="1" ht="30" customHeight="1">
      <c r="A3560" s="20">
        <v>81242</v>
      </c>
      <c r="B3560" s="1176" t="s">
        <v>1945</v>
      </c>
      <c r="C3560" s="1177"/>
      <c r="D3560" s="1178"/>
      <c r="E3560" s="23">
        <v>142</v>
      </c>
      <c r="F3560" s="316">
        <v>1</v>
      </c>
      <c r="G3560" s="317"/>
      <c r="H3560" s="267"/>
      <c r="I3560" s="1546">
        <f>+'2019 MILCON Inflation Table'!$F$18</f>
        <v>0.94232233454704462</v>
      </c>
      <c r="J3560" s="1547"/>
      <c r="K3560" s="106">
        <f t="shared" si="60"/>
        <v>133.80977150568035</v>
      </c>
      <c r="L3560" s="97" t="s">
        <v>6</v>
      </c>
      <c r="M3560" s="1146"/>
      <c r="N3560" s="1103"/>
      <c r="P3560" s="159"/>
      <c r="Q3560" s="147"/>
      <c r="R3560" s="149"/>
      <c r="T3560"/>
      <c r="U3560"/>
      <c r="V3560"/>
      <c r="W3560"/>
      <c r="X3560"/>
    </row>
    <row r="3561" spans="1:24" ht="30" customHeight="1">
      <c r="A3561" s="20"/>
      <c r="B3561" s="207"/>
      <c r="C3561" s="208"/>
      <c r="D3561" s="155"/>
      <c r="E3561" s="745"/>
      <c r="F3561" s="1085"/>
      <c r="G3561" s="272"/>
      <c r="H3561" s="267"/>
      <c r="I3561" s="530"/>
      <c r="J3561" s="339" t="s">
        <v>311</v>
      </c>
      <c r="K3561" s="106">
        <f>AVERAGE(K3555:K3560)</f>
        <v>43.746887195221554</v>
      </c>
      <c r="L3561" s="97" t="s">
        <v>6</v>
      </c>
      <c r="M3561" s="1146"/>
      <c r="N3561" s="1103"/>
      <c r="O3561"/>
      <c r="P3561" s="159"/>
      <c r="Q3561" s="147"/>
      <c r="R3561" s="149"/>
    </row>
    <row r="3562" spans="1:24" ht="30" customHeight="1" thickBot="1">
      <c r="A3562" s="20"/>
      <c r="B3562" s="1222"/>
      <c r="C3562" s="1222"/>
      <c r="D3562" s="1222"/>
      <c r="E3562" s="181"/>
      <c r="F3562" s="338"/>
      <c r="G3562" s="181"/>
      <c r="H3562" s="339"/>
      <c r="I3562" s="18"/>
      <c r="J3562" s="79" t="s">
        <v>289</v>
      </c>
      <c r="K3562" s="107">
        <f>+K3561</f>
        <v>43.746887195221554</v>
      </c>
      <c r="L3562" s="97" t="s">
        <v>6</v>
      </c>
      <c r="M3562" s="1146"/>
      <c r="N3562" s="1103"/>
      <c r="O3562"/>
      <c r="P3562" s="159"/>
      <c r="Q3562" s="147"/>
      <c r="R3562" s="149"/>
    </row>
    <row r="3563" spans="1:24" ht="30" customHeight="1" thickBot="1">
      <c r="A3563" s="1165"/>
      <c r="B3563" s="1166"/>
      <c r="C3563" s="1166"/>
      <c r="D3563" s="1166"/>
      <c r="E3563" s="1166"/>
      <c r="F3563" s="1166"/>
      <c r="G3563" s="1166"/>
      <c r="H3563" s="1166"/>
      <c r="I3563" s="1166"/>
      <c r="J3563" s="1166"/>
      <c r="K3563" s="1166"/>
      <c r="L3563" s="1167"/>
      <c r="M3563" s="1146"/>
      <c r="N3563" s="282"/>
      <c r="O3563"/>
      <c r="P3563" s="159"/>
      <c r="Q3563" s="147"/>
      <c r="R3563" s="149"/>
    </row>
    <row r="3564" spans="1:24" ht="30" customHeight="1">
      <c r="A3564" s="81" t="s">
        <v>280</v>
      </c>
      <c r="B3564" s="82">
        <v>8133</v>
      </c>
      <c r="C3564" s="1228" t="s">
        <v>1946</v>
      </c>
      <c r="D3564" s="1229"/>
      <c r="E3564" s="74" t="s">
        <v>282</v>
      </c>
      <c r="F3564" s="75" t="s">
        <v>217</v>
      </c>
      <c r="G3564" s="58" t="s">
        <v>290</v>
      </c>
      <c r="H3564" s="104">
        <v>1622</v>
      </c>
      <c r="I3564" s="74" t="s">
        <v>283</v>
      </c>
      <c r="J3564" s="1199" t="s">
        <v>2782</v>
      </c>
      <c r="K3564" s="1199"/>
      <c r="L3564" s="1200"/>
      <c r="M3564" s="1146"/>
      <c r="N3564" s="282"/>
      <c r="O3564" s="34"/>
      <c r="P3564" s="283"/>
      <c r="Q3564" s="282"/>
      <c r="R3564" s="284"/>
    </row>
    <row r="3565" spans="1:24" ht="30" customHeight="1">
      <c r="A3565" s="77" t="s">
        <v>293</v>
      </c>
      <c r="B3565" s="1232" t="s">
        <v>284</v>
      </c>
      <c r="C3565" s="1232"/>
      <c r="D3565" s="1232"/>
      <c r="E3565" s="96" t="s">
        <v>1907</v>
      </c>
      <c r="F3565" s="77" t="s">
        <v>294</v>
      </c>
      <c r="G3565" s="1365" t="s">
        <v>332</v>
      </c>
      <c r="H3565" s="1366"/>
      <c r="I3565" s="1233" t="s">
        <v>296</v>
      </c>
      <c r="J3565" s="1234"/>
      <c r="K3565" s="1303" t="s">
        <v>297</v>
      </c>
      <c r="L3565" s="1304"/>
      <c r="M3565" s="1146"/>
      <c r="N3565" s="1103"/>
      <c r="O3565" s="34"/>
      <c r="P3565" s="283"/>
      <c r="Q3565" s="282"/>
      <c r="R3565" s="284"/>
    </row>
    <row r="3566" spans="1:24" ht="30" customHeight="1">
      <c r="A3566" s="20">
        <v>81360</v>
      </c>
      <c r="B3566" s="1176" t="s">
        <v>2783</v>
      </c>
      <c r="C3566" s="1177"/>
      <c r="D3566" s="1178"/>
      <c r="E3566" s="153">
        <v>27460</v>
      </c>
      <c r="F3566" s="316">
        <v>500</v>
      </c>
      <c r="G3566" s="317">
        <v>500</v>
      </c>
      <c r="H3566" s="267" t="s">
        <v>1947</v>
      </c>
      <c r="I3566" s="1546">
        <f>+'2019 MILCON Inflation Table'!$F$18</f>
        <v>0.94232233454704462</v>
      </c>
      <c r="J3566" s="1547"/>
      <c r="K3566" s="106">
        <f>+E3566/G3566*I3566</f>
        <v>51.752342613323691</v>
      </c>
      <c r="L3566" s="97" t="s">
        <v>217</v>
      </c>
      <c r="M3566" s="1146"/>
      <c r="N3566" s="1103"/>
      <c r="O3566"/>
      <c r="P3566" s="159"/>
      <c r="Q3566" s="147"/>
      <c r="R3566" s="149"/>
    </row>
    <row r="3567" spans="1:24" ht="30" customHeight="1">
      <c r="A3567" s="20">
        <v>81360</v>
      </c>
      <c r="B3567" s="1176" t="s">
        <v>2784</v>
      </c>
      <c r="C3567" s="1177"/>
      <c r="D3567" s="1178"/>
      <c r="E3567" s="153">
        <v>49860</v>
      </c>
      <c r="F3567" s="316">
        <v>1000</v>
      </c>
      <c r="G3567" s="317">
        <v>1000</v>
      </c>
      <c r="H3567" s="267" t="s">
        <v>1947</v>
      </c>
      <c r="I3567" s="1546">
        <f>+'2019 MILCON Inflation Table'!$F$18</f>
        <v>0.94232233454704462</v>
      </c>
      <c r="J3567" s="1547"/>
      <c r="K3567" s="106">
        <f>+E3567/G3567*I3567</f>
        <v>46.984191600515643</v>
      </c>
      <c r="L3567" s="97" t="s">
        <v>217</v>
      </c>
      <c r="M3567" s="1146"/>
      <c r="N3567" s="1103"/>
      <c r="O3567"/>
      <c r="P3567" s="159"/>
      <c r="Q3567" s="147"/>
      <c r="R3567" s="149"/>
    </row>
    <row r="3568" spans="1:24" ht="30" customHeight="1">
      <c r="A3568" s="20">
        <v>81360</v>
      </c>
      <c r="B3568" s="1176" t="s">
        <v>2785</v>
      </c>
      <c r="C3568" s="1177"/>
      <c r="D3568" s="1178"/>
      <c r="E3568" s="153">
        <v>70030</v>
      </c>
      <c r="F3568" s="1087">
        <v>2000</v>
      </c>
      <c r="G3568" s="317">
        <v>2000</v>
      </c>
      <c r="H3568" s="267" t="s">
        <v>1947</v>
      </c>
      <c r="I3568" s="1546">
        <f>+'2019 MILCON Inflation Table'!$F$18</f>
        <v>0.94232233454704462</v>
      </c>
      <c r="J3568" s="1547"/>
      <c r="K3568" s="106">
        <f>+E3568/G3568*I3568</f>
        <v>32.995416544164769</v>
      </c>
      <c r="L3568" s="97" t="s">
        <v>217</v>
      </c>
      <c r="M3568" s="1146"/>
      <c r="N3568" s="1103"/>
      <c r="O3568"/>
      <c r="P3568" s="159"/>
      <c r="Q3568" s="147"/>
      <c r="R3568" s="149"/>
    </row>
    <row r="3569" spans="1:24" ht="30" customHeight="1">
      <c r="A3569" s="20"/>
      <c r="B3569" s="1179"/>
      <c r="C3569" s="1180"/>
      <c r="D3569" s="1181"/>
      <c r="E3569" s="153"/>
      <c r="F3569" s="338"/>
      <c r="G3569" s="317"/>
      <c r="H3569" s="267"/>
      <c r="I3569" s="18"/>
      <c r="J3569" s="185" t="s">
        <v>311</v>
      </c>
      <c r="K3569" s="106">
        <f>AVERAGE(K3566:K3568)</f>
        <v>43.910650252668034</v>
      </c>
      <c r="L3569" s="97" t="s">
        <v>217</v>
      </c>
      <c r="M3569" s="1146"/>
      <c r="N3569" s="1103"/>
      <c r="O3569"/>
      <c r="P3569" s="159"/>
      <c r="Q3569" s="147"/>
      <c r="R3569" s="149"/>
    </row>
    <row r="3570" spans="1:24" ht="30" customHeight="1" thickBot="1">
      <c r="A3570" s="20"/>
      <c r="B3570" s="1179"/>
      <c r="C3570" s="1180"/>
      <c r="D3570" s="1181"/>
      <c r="E3570" s="153"/>
      <c r="F3570" s="338"/>
      <c r="G3570" s="317"/>
      <c r="H3570" s="267"/>
      <c r="I3570" s="18"/>
      <c r="J3570" s="788" t="s">
        <v>289</v>
      </c>
      <c r="K3570" s="106">
        <f>+K3569</f>
        <v>43.910650252668034</v>
      </c>
      <c r="L3570" s="97" t="s">
        <v>217</v>
      </c>
      <c r="M3570" s="1146"/>
      <c r="N3570" s="1103"/>
      <c r="O3570"/>
      <c r="P3570" s="159"/>
      <c r="Q3570" s="147"/>
      <c r="R3570" s="149"/>
    </row>
    <row r="3571" spans="1:24" ht="30" customHeight="1" thickBot="1">
      <c r="A3571" s="1165"/>
      <c r="B3571" s="1166"/>
      <c r="C3571" s="1166"/>
      <c r="D3571" s="1166"/>
      <c r="E3571" s="1166"/>
      <c r="F3571" s="1166"/>
      <c r="G3571" s="1166"/>
      <c r="H3571" s="1166"/>
      <c r="I3571" s="1166"/>
      <c r="J3571" s="1166"/>
      <c r="K3571" s="1166"/>
      <c r="L3571" s="1167"/>
      <c r="M3571" s="1146"/>
      <c r="N3571" s="1103"/>
      <c r="O3571"/>
      <c r="P3571" s="159"/>
      <c r="Q3571" s="147"/>
      <c r="R3571" s="149"/>
    </row>
    <row r="3572" spans="1:24" ht="30" customHeight="1">
      <c r="A3572" s="81" t="s">
        <v>280</v>
      </c>
      <c r="B3572" s="82">
        <v>8134</v>
      </c>
      <c r="C3572" s="1197" t="s">
        <v>1948</v>
      </c>
      <c r="D3572" s="1198"/>
      <c r="E3572" s="74" t="s">
        <v>282</v>
      </c>
      <c r="F3572" s="75" t="s">
        <v>10</v>
      </c>
      <c r="G3572" s="58" t="s">
        <v>290</v>
      </c>
      <c r="H3572" s="360">
        <v>8</v>
      </c>
      <c r="I3572" s="74" t="s">
        <v>283</v>
      </c>
      <c r="J3572" s="1199" t="s">
        <v>2529</v>
      </c>
      <c r="K3572" s="1199"/>
      <c r="L3572" s="1200"/>
      <c r="M3572" s="1146"/>
      <c r="N3572" s="1103"/>
      <c r="O3572"/>
      <c r="P3572" s="159"/>
      <c r="Q3572" s="147"/>
      <c r="R3572" s="149"/>
    </row>
    <row r="3573" spans="1:24" ht="30" customHeight="1">
      <c r="A3573" s="79" t="s">
        <v>304</v>
      </c>
      <c r="B3573" s="1201" t="s">
        <v>330</v>
      </c>
      <c r="C3573" s="1202"/>
      <c r="D3573" s="1203"/>
      <c r="E3573" s="150" t="s">
        <v>295</v>
      </c>
      <c r="F3573" s="150" t="s">
        <v>331</v>
      </c>
      <c r="G3573" s="1204" t="s">
        <v>332</v>
      </c>
      <c r="H3573" s="1205"/>
      <c r="I3573" s="77" t="s">
        <v>305</v>
      </c>
      <c r="J3573" s="77"/>
      <c r="K3573" s="1303" t="s">
        <v>297</v>
      </c>
      <c r="L3573" s="1304"/>
      <c r="M3573" s="1146"/>
      <c r="N3573" s="282"/>
      <c r="O3573"/>
      <c r="P3573" s="159"/>
      <c r="Q3573" s="147"/>
      <c r="R3573" s="149"/>
    </row>
    <row r="3574" spans="1:24" ht="30" customHeight="1">
      <c r="A3574" s="647" t="s">
        <v>606</v>
      </c>
      <c r="B3574" s="1176" t="s">
        <v>1949</v>
      </c>
      <c r="C3574" s="1177"/>
      <c r="D3574" s="1178"/>
      <c r="E3574" s="335">
        <v>1230</v>
      </c>
      <c r="F3574" s="22" t="s">
        <v>10</v>
      </c>
      <c r="G3574" s="317"/>
      <c r="H3574" s="267"/>
      <c r="I3574" s="326">
        <v>1.07</v>
      </c>
      <c r="J3574" s="20"/>
      <c r="K3574" s="331">
        <f>+E3574*I3574</f>
        <v>1316.1000000000001</v>
      </c>
      <c r="L3574" s="22" t="s">
        <v>10</v>
      </c>
      <c r="M3574" s="1146"/>
      <c r="N3574" s="282"/>
      <c r="O3574"/>
      <c r="P3574" s="159"/>
      <c r="Q3574" s="147"/>
      <c r="R3574" s="149"/>
    </row>
    <row r="3575" spans="1:24" ht="30" customHeight="1">
      <c r="A3575" s="647" t="s">
        <v>600</v>
      </c>
      <c r="B3575" s="1179" t="s">
        <v>1950</v>
      </c>
      <c r="C3575" s="1180"/>
      <c r="D3575" s="1181"/>
      <c r="E3575" s="153">
        <v>298</v>
      </c>
      <c r="F3575" s="22" t="s">
        <v>10</v>
      </c>
      <c r="G3575" s="317"/>
      <c r="H3575" s="267"/>
      <c r="I3575" s="326">
        <v>1.07</v>
      </c>
      <c r="J3575" s="20"/>
      <c r="K3575" s="331">
        <f>+E3575*I3575</f>
        <v>318.86</v>
      </c>
      <c r="L3575" s="20" t="s">
        <v>10</v>
      </c>
      <c r="M3575" s="1146"/>
      <c r="N3575" s="1103"/>
      <c r="O3575"/>
      <c r="P3575" s="159"/>
      <c r="Q3575" s="147"/>
      <c r="R3575" s="149"/>
    </row>
    <row r="3576" spans="1:24" ht="30" customHeight="1">
      <c r="A3576" s="647" t="s">
        <v>600</v>
      </c>
      <c r="B3576" s="1179" t="s">
        <v>1951</v>
      </c>
      <c r="C3576" s="1180"/>
      <c r="D3576" s="1181"/>
      <c r="E3576" s="153">
        <v>147</v>
      </c>
      <c r="F3576" s="22" t="s">
        <v>10</v>
      </c>
      <c r="G3576" s="317"/>
      <c r="H3576" s="267"/>
      <c r="I3576" s="326">
        <v>1.07</v>
      </c>
      <c r="J3576" s="20"/>
      <c r="K3576" s="331">
        <f>+E3576*I3576</f>
        <v>157.29000000000002</v>
      </c>
      <c r="L3576" s="20" t="s">
        <v>10</v>
      </c>
      <c r="M3576" s="1146"/>
      <c r="N3576" s="1103"/>
      <c r="O3576"/>
      <c r="P3576" s="159"/>
      <c r="Q3576" s="147"/>
      <c r="R3576" s="149"/>
    </row>
    <row r="3577" spans="1:24" ht="30" customHeight="1">
      <c r="A3577" s="647" t="s">
        <v>600</v>
      </c>
      <c r="B3577" s="1179" t="s">
        <v>2787</v>
      </c>
      <c r="C3577" s="1180"/>
      <c r="D3577" s="1181"/>
      <c r="E3577" s="153">
        <v>6.04</v>
      </c>
      <c r="F3577" s="22" t="s">
        <v>344</v>
      </c>
      <c r="G3577" s="317">
        <v>80</v>
      </c>
      <c r="H3577" s="267" t="s">
        <v>1952</v>
      </c>
      <c r="I3577" s="326">
        <v>1.07</v>
      </c>
      <c r="J3577" s="20"/>
      <c r="K3577" s="331">
        <f>+E3577*G3577*I3577</f>
        <v>517.024</v>
      </c>
      <c r="L3577" s="20" t="s">
        <v>10</v>
      </c>
      <c r="M3577" s="1146"/>
      <c r="N3577" s="1103"/>
      <c r="O3577"/>
      <c r="P3577" s="159"/>
      <c r="Q3577" s="147"/>
      <c r="R3577" s="149"/>
    </row>
    <row r="3578" spans="1:24" ht="30" customHeight="1">
      <c r="A3578" s="647" t="s">
        <v>1953</v>
      </c>
      <c r="B3578" s="1179" t="s">
        <v>1954</v>
      </c>
      <c r="C3578" s="1180"/>
      <c r="D3578" s="1181"/>
      <c r="E3578" s="153">
        <v>324</v>
      </c>
      <c r="F3578" s="22" t="s">
        <v>10</v>
      </c>
      <c r="G3578" s="317"/>
      <c r="H3578" s="267"/>
      <c r="I3578" s="326">
        <v>1.07</v>
      </c>
      <c r="J3578" s="20"/>
      <c r="K3578" s="331">
        <f>+E3578*I3578</f>
        <v>346.68</v>
      </c>
      <c r="L3578" s="20" t="s">
        <v>10</v>
      </c>
      <c r="M3578" s="1146"/>
      <c r="N3578" s="1103"/>
      <c r="O3578"/>
      <c r="P3578" s="159"/>
      <c r="Q3578" s="147"/>
      <c r="R3578" s="149"/>
    </row>
    <row r="3579" spans="1:24" ht="30" customHeight="1">
      <c r="A3579" s="741"/>
      <c r="B3579" s="208"/>
      <c r="C3579" s="208"/>
      <c r="D3579" s="155"/>
      <c r="E3579" s="153"/>
      <c r="F3579" s="22"/>
      <c r="G3579" s="317"/>
      <c r="H3579" s="267"/>
      <c r="I3579" s="326"/>
      <c r="J3579" s="20" t="s">
        <v>346</v>
      </c>
      <c r="K3579" s="331">
        <f>SUM(K3574:K3578)</f>
        <v>2655.9539999999997</v>
      </c>
      <c r="L3579" s="20" t="s">
        <v>10</v>
      </c>
      <c r="M3579" s="1146"/>
      <c r="N3579" s="1103"/>
      <c r="O3579"/>
      <c r="P3579" s="159"/>
      <c r="Q3579" s="147"/>
      <c r="R3579" s="149"/>
      <c r="T3579" s="38"/>
      <c r="U3579" s="38"/>
      <c r="V3579" s="38"/>
      <c r="W3579" s="38"/>
      <c r="X3579" s="38"/>
    </row>
    <row r="3580" spans="1:24" s="38" customFormat="1" ht="30" customHeight="1">
      <c r="A3580" s="20"/>
      <c r="B3580" s="157"/>
      <c r="C3580" s="157"/>
      <c r="D3580" s="157"/>
      <c r="E3580" s="153"/>
      <c r="F3580" s="1174" t="s">
        <v>308</v>
      </c>
      <c r="G3580" s="1208" t="s">
        <v>309</v>
      </c>
      <c r="H3580" s="1208"/>
      <c r="I3580" s="1208"/>
      <c r="J3580" s="1208"/>
      <c r="K3580" s="123">
        <v>1.06</v>
      </c>
      <c r="L3580" s="10"/>
      <c r="M3580" s="1146"/>
      <c r="N3580" s="1103"/>
      <c r="P3580" s="159"/>
      <c r="Q3580" s="147"/>
      <c r="R3580" s="149"/>
      <c r="T3580"/>
      <c r="U3580"/>
      <c r="V3580"/>
      <c r="W3580"/>
      <c r="X3580"/>
    </row>
    <row r="3581" spans="1:24" ht="30" customHeight="1">
      <c r="A3581" s="20"/>
      <c r="B3581" s="157"/>
      <c r="C3581" s="157"/>
      <c r="D3581" s="157"/>
      <c r="E3581" s="153"/>
      <c r="F3581" s="1175"/>
      <c r="G3581" s="1209" t="s">
        <v>310</v>
      </c>
      <c r="H3581" s="1209"/>
      <c r="I3581" s="1209"/>
      <c r="J3581" s="1209"/>
      <c r="K3581" s="123">
        <v>1.07</v>
      </c>
      <c r="L3581" s="10"/>
      <c r="M3581" s="1146"/>
      <c r="N3581" s="1103"/>
      <c r="O3581"/>
      <c r="P3581" s="159"/>
      <c r="Q3581" s="147"/>
      <c r="R3581" s="149"/>
    </row>
    <row r="3582" spans="1:24" ht="30" customHeight="1">
      <c r="A3582" s="741"/>
      <c r="B3582" s="208"/>
      <c r="C3582" s="208"/>
      <c r="D3582" s="155"/>
      <c r="E3582" s="153"/>
      <c r="F3582" s="22"/>
      <c r="G3582" s="317"/>
      <c r="H3582" s="267"/>
      <c r="I3582" s="326"/>
      <c r="J3582" s="20" t="s">
        <v>289</v>
      </c>
      <c r="K3582" s="331">
        <f>+K3579*K3580/K3581</f>
        <v>2631.1320000000001</v>
      </c>
      <c r="L3582" s="20" t="s">
        <v>10</v>
      </c>
      <c r="M3582" s="1146"/>
      <c r="N3582" s="960"/>
      <c r="O3582"/>
      <c r="P3582" s="159"/>
      <c r="Q3582" s="147"/>
      <c r="R3582" s="149"/>
    </row>
    <row r="3583" spans="1:24" ht="30" customHeight="1" thickBot="1">
      <c r="A3583" s="1584" t="s">
        <v>2786</v>
      </c>
      <c r="B3583" s="1585"/>
      <c r="C3583" s="1585"/>
      <c r="D3583" s="1586"/>
      <c r="E3583" s="18"/>
      <c r="F3583" s="18"/>
      <c r="G3583" s="160" t="s">
        <v>312</v>
      </c>
      <c r="H3583" s="18"/>
      <c r="I3583" s="18"/>
      <c r="J3583" s="139">
        <f>VLOOKUP(B3572,'[1]Mil Cost Premiums for RUCs'!$A$4:$R$263,18,FALSE)</f>
        <v>1.0905505199999999</v>
      </c>
      <c r="K3583" s="23">
        <f>+K3579*J3583</f>
        <v>2896.4520157960792</v>
      </c>
      <c r="L3583" s="20" t="s">
        <v>10</v>
      </c>
      <c r="M3583" s="1146"/>
      <c r="N3583" s="960"/>
      <c r="O3583"/>
      <c r="P3583" s="159"/>
      <c r="Q3583" s="147"/>
      <c r="R3583" s="149"/>
    </row>
    <row r="3584" spans="1:24" ht="30" customHeight="1" thickBot="1">
      <c r="A3584" s="1165"/>
      <c r="B3584" s="1166"/>
      <c r="C3584" s="1166"/>
      <c r="D3584" s="1166"/>
      <c r="E3584" s="1166"/>
      <c r="F3584" s="1166"/>
      <c r="G3584" s="1166"/>
      <c r="H3584" s="1166"/>
      <c r="I3584" s="1166"/>
      <c r="J3584" s="1166"/>
      <c r="K3584" s="1166"/>
      <c r="L3584" s="1167"/>
      <c r="M3584" s="1146"/>
      <c r="N3584" s="960"/>
      <c r="O3584"/>
      <c r="P3584" s="159"/>
      <c r="Q3584" s="147"/>
      <c r="R3584" s="149"/>
    </row>
    <row r="3585" spans="1:24" ht="30" customHeight="1">
      <c r="A3585" s="108" t="s">
        <v>280</v>
      </c>
      <c r="B3585" s="109">
        <v>8211</v>
      </c>
      <c r="C3585" s="1687" t="s">
        <v>1955</v>
      </c>
      <c r="D3585" s="1688"/>
      <c r="E3585" s="216" t="s">
        <v>282</v>
      </c>
      <c r="F3585" s="217" t="s">
        <v>219</v>
      </c>
      <c r="G3585" s="58" t="s">
        <v>290</v>
      </c>
      <c r="H3585" s="245">
        <v>40917087</v>
      </c>
      <c r="I3585" s="216" t="s">
        <v>283</v>
      </c>
      <c r="J3585" s="1199" t="s">
        <v>2529</v>
      </c>
      <c r="K3585" s="1199"/>
      <c r="L3585" s="1200"/>
      <c r="M3585" s="1146"/>
      <c r="N3585" s="1103"/>
      <c r="O3585" s="34"/>
      <c r="P3585" s="283"/>
      <c r="Q3585" s="282"/>
      <c r="R3585" s="284"/>
    </row>
    <row r="3586" spans="1:24" ht="30" customHeight="1">
      <c r="A3586" s="294" t="s">
        <v>304</v>
      </c>
      <c r="B3586" s="1436" t="s">
        <v>1956</v>
      </c>
      <c r="C3586" s="1437"/>
      <c r="D3586" s="1438"/>
      <c r="E3586" s="219" t="s">
        <v>295</v>
      </c>
      <c r="F3586" s="219" t="s">
        <v>331</v>
      </c>
      <c r="G3586" s="1327" t="s">
        <v>332</v>
      </c>
      <c r="H3586" s="1328"/>
      <c r="I3586" s="167" t="s">
        <v>305</v>
      </c>
      <c r="J3586" s="167"/>
      <c r="K3586" s="1303" t="s">
        <v>297</v>
      </c>
      <c r="L3586" s="1304"/>
      <c r="M3586" s="1146"/>
      <c r="N3586" s="1103"/>
      <c r="O3586" s="34"/>
      <c r="P3586" s="283"/>
      <c r="Q3586" s="282"/>
      <c r="R3586" s="284"/>
    </row>
    <row r="3587" spans="1:24" ht="30" customHeight="1">
      <c r="A3587" s="24"/>
      <c r="B3587" s="1185" t="s">
        <v>1957</v>
      </c>
      <c r="C3587" s="1186"/>
      <c r="D3587" s="1187"/>
      <c r="E3587" s="747">
        <v>33475</v>
      </c>
      <c r="F3587" s="5" t="s">
        <v>1958</v>
      </c>
      <c r="G3587" s="676">
        <f>+H3585/E3587</f>
        <v>1222.3177595220313</v>
      </c>
      <c r="H3587" s="1727" t="s">
        <v>1959</v>
      </c>
      <c r="I3587" s="1289"/>
      <c r="J3587" s="463"/>
      <c r="K3587" s="5"/>
      <c r="L3587" s="5"/>
      <c r="M3587" s="1146"/>
      <c r="N3587" s="1103"/>
      <c r="O3587"/>
      <c r="P3587" s="159"/>
      <c r="Q3587" s="147"/>
      <c r="R3587" s="149"/>
      <c r="T3587" s="32"/>
      <c r="U3587" s="34"/>
    </row>
    <row r="3588" spans="1:24" ht="30" customHeight="1">
      <c r="A3588" s="748" t="s">
        <v>1960</v>
      </c>
      <c r="B3588" s="1185" t="s">
        <v>1961</v>
      </c>
      <c r="C3588" s="1186"/>
      <c r="D3588" s="1187"/>
      <c r="E3588" s="299">
        <v>476</v>
      </c>
      <c r="F3588" s="5" t="s">
        <v>1962</v>
      </c>
      <c r="G3588" s="676"/>
      <c r="H3588" s="297"/>
      <c r="I3588" s="10"/>
      <c r="J3588" s="10"/>
      <c r="K3588" s="295"/>
      <c r="L3588" s="5"/>
      <c r="M3588" s="1146"/>
      <c r="N3588" s="1103"/>
      <c r="O3588" s="33"/>
      <c r="P3588" s="32"/>
      <c r="Q3588" s="32"/>
      <c r="R3588" s="32"/>
      <c r="S3588" s="32"/>
      <c r="U3588" s="34"/>
    </row>
    <row r="3589" spans="1:24" ht="30" customHeight="1">
      <c r="A3589" s="748"/>
      <c r="B3589" s="1185" t="s">
        <v>1963</v>
      </c>
      <c r="C3589" s="1186"/>
      <c r="D3589" s="1187"/>
      <c r="E3589" s="299"/>
      <c r="F3589" s="5" t="s">
        <v>1964</v>
      </c>
      <c r="G3589" s="749">
        <f>+E3588/E3587</f>
        <v>1.4219566840926064E-2</v>
      </c>
      <c r="H3589" s="297" t="s">
        <v>1965</v>
      </c>
      <c r="I3589" s="10">
        <v>1.06</v>
      </c>
      <c r="J3589" s="10"/>
      <c r="K3589" s="1088">
        <f>+G3589*I3589</f>
        <v>1.507274085138163E-2</v>
      </c>
      <c r="L3589" s="5" t="s">
        <v>219</v>
      </c>
      <c r="M3589" s="1146"/>
      <c r="N3589" s="1103"/>
      <c r="U3589" s="32"/>
      <c r="V3589" s="32"/>
      <c r="W3589" s="32"/>
      <c r="X3589" s="32"/>
    </row>
    <row r="3590" spans="1:24" s="32" customFormat="1" ht="30" customHeight="1">
      <c r="A3590" s="748" t="s">
        <v>1966</v>
      </c>
      <c r="B3590" s="1439" t="s">
        <v>1967</v>
      </c>
      <c r="C3590" s="1440"/>
      <c r="D3590" s="1441"/>
      <c r="E3590" s="299">
        <v>675</v>
      </c>
      <c r="F3590" s="5" t="s">
        <v>6</v>
      </c>
      <c r="G3590" s="751">
        <f>30*E3590/H3585</f>
        <v>4.949032662075871E-4</v>
      </c>
      <c r="H3590" s="297" t="s">
        <v>1965</v>
      </c>
      <c r="I3590" s="10">
        <v>1.06</v>
      </c>
      <c r="J3590" s="10"/>
      <c r="K3590" s="1088">
        <f>+G3590*I3590</f>
        <v>5.245974621800423E-4</v>
      </c>
      <c r="L3590" s="5" t="s">
        <v>219</v>
      </c>
      <c r="M3590" s="1146"/>
      <c r="N3590" s="1103"/>
      <c r="O3590" s="1119"/>
      <c r="P3590"/>
      <c r="Q3590"/>
      <c r="R3590"/>
      <c r="S3590"/>
      <c r="T3590" s="84"/>
      <c r="U3590" s="38"/>
      <c r="V3590" s="38"/>
      <c r="W3590" s="38"/>
      <c r="X3590" s="38"/>
    </row>
    <row r="3591" spans="1:24" s="38" customFormat="1" ht="30" customHeight="1">
      <c r="A3591" s="24"/>
      <c r="B3591" s="1337"/>
      <c r="C3591" s="1338"/>
      <c r="D3591" s="1339"/>
      <c r="E3591" s="13"/>
      <c r="F3591" s="13"/>
      <c r="G3591" s="13"/>
      <c r="H3591" s="13"/>
      <c r="I3591" s="13"/>
      <c r="J3591" s="10" t="s">
        <v>346</v>
      </c>
      <c r="K3591" s="1088">
        <f>SUM(K3589:K3590)</f>
        <v>1.5597338313561672E-2</v>
      </c>
      <c r="L3591" s="5" t="s">
        <v>219</v>
      </c>
      <c r="M3591" s="1146"/>
      <c r="N3591" s="1103"/>
      <c r="O3591" s="1119"/>
      <c r="P3591" s="39"/>
      <c r="Q3591" s="39"/>
      <c r="R3591" s="39"/>
      <c r="S3591" s="84"/>
      <c r="T3591" s="44"/>
      <c r="U3591"/>
      <c r="V3591"/>
      <c r="W3591"/>
      <c r="X3591"/>
    </row>
    <row r="3592" spans="1:24" ht="30" customHeight="1">
      <c r="A3592" s="45"/>
      <c r="B3592" s="189"/>
      <c r="C3592" s="189"/>
      <c r="D3592" s="189"/>
      <c r="E3592" s="153"/>
      <c r="F3592" s="1174" t="s">
        <v>308</v>
      </c>
      <c r="G3592" s="1208" t="s">
        <v>309</v>
      </c>
      <c r="H3592" s="1208"/>
      <c r="I3592" s="1208"/>
      <c r="J3592" s="1208"/>
      <c r="K3592" s="123">
        <v>1.06</v>
      </c>
      <c r="L3592" s="10"/>
      <c r="M3592" s="1146"/>
      <c r="N3592" s="1103"/>
      <c r="P3592" s="34"/>
      <c r="Q3592" s="34"/>
      <c r="R3592" s="34"/>
      <c r="S3592" s="44"/>
    </row>
    <row r="3593" spans="1:24" ht="30" customHeight="1">
      <c r="A3593" s="45"/>
      <c r="B3593" s="189"/>
      <c r="C3593" s="189"/>
      <c r="D3593" s="189"/>
      <c r="E3593" s="153"/>
      <c r="F3593" s="1175"/>
      <c r="G3593" s="1209" t="s">
        <v>310</v>
      </c>
      <c r="H3593" s="1209"/>
      <c r="I3593" s="1209"/>
      <c r="J3593" s="1209"/>
      <c r="K3593" s="123">
        <v>1.07</v>
      </c>
      <c r="L3593" s="10"/>
      <c r="M3593" s="1146"/>
      <c r="N3593" s="1103"/>
      <c r="O3593"/>
      <c r="P3593" s="159"/>
      <c r="Q3593" s="147"/>
      <c r="R3593" s="149"/>
    </row>
    <row r="3594" spans="1:24" ht="30" customHeight="1">
      <c r="A3594" s="24"/>
      <c r="B3594" s="1337" t="s">
        <v>1968</v>
      </c>
      <c r="C3594" s="1338"/>
      <c r="D3594" s="1339"/>
      <c r="E3594" s="13"/>
      <c r="F3594" s="13"/>
      <c r="G3594" s="13"/>
      <c r="H3594" s="13"/>
      <c r="I3594" s="13"/>
      <c r="J3594" s="10" t="s">
        <v>289</v>
      </c>
      <c r="K3594" s="750">
        <f>+K3591*K3592/K3593</f>
        <v>1.5451568796612495E-2</v>
      </c>
      <c r="L3594" s="5" t="s">
        <v>219</v>
      </c>
      <c r="M3594" s="1146"/>
      <c r="N3594" s="282"/>
      <c r="O3594"/>
      <c r="P3594" s="159"/>
      <c r="Q3594" s="147"/>
      <c r="R3594" s="149"/>
    </row>
    <row r="3595" spans="1:24" ht="30" customHeight="1">
      <c r="A3595" s="24" t="s">
        <v>332</v>
      </c>
      <c r="B3595" s="1185" t="s">
        <v>1957</v>
      </c>
      <c r="C3595" s="1186"/>
      <c r="D3595" s="1187"/>
      <c r="E3595" s="747">
        <v>33475</v>
      </c>
      <c r="F3595" s="5" t="s">
        <v>1958</v>
      </c>
      <c r="G3595" s="752">
        <f>H3585/E3595</f>
        <v>1222.3177595220313</v>
      </c>
      <c r="H3595" s="1594" t="s">
        <v>1959</v>
      </c>
      <c r="I3595" s="1595"/>
      <c r="J3595" s="10"/>
      <c r="K3595" s="750"/>
      <c r="L3595" s="5"/>
      <c r="M3595" s="1146"/>
      <c r="N3595" s="632"/>
      <c r="O3595"/>
      <c r="P3595" s="159"/>
      <c r="Q3595" s="147"/>
      <c r="R3595" s="149"/>
      <c r="T3595" s="38"/>
      <c r="U3595" s="38"/>
      <c r="V3595" s="38"/>
      <c r="W3595" s="38"/>
      <c r="X3595" s="38"/>
    </row>
    <row r="3596" spans="1:24" s="38" customFormat="1" ht="30" customHeight="1">
      <c r="A3596" s="24"/>
      <c r="B3596" s="1337" t="s">
        <v>2788</v>
      </c>
      <c r="C3596" s="1338"/>
      <c r="D3596" s="1339"/>
      <c r="E3596" s="13"/>
      <c r="F3596" s="13"/>
      <c r="G3596" s="160" t="s">
        <v>312</v>
      </c>
      <c r="H3596" s="13"/>
      <c r="I3596" s="13"/>
      <c r="J3596" s="139">
        <f>VLOOKUP(B3585,'Mil Cost Premiums for RUCs'!$A$4:$R$266,18,FALSE)</f>
        <v>1.0905505199999999</v>
      </c>
      <c r="K3596" s="753">
        <f>+K3591*J3596</f>
        <v>1.7009685408470601E-2</v>
      </c>
      <c r="L3596" s="10" t="s">
        <v>219</v>
      </c>
      <c r="M3596" s="1146"/>
      <c r="N3596" s="1103"/>
      <c r="P3596" s="159"/>
      <c r="Q3596" s="147"/>
      <c r="R3596" s="149"/>
      <c r="T3596"/>
      <c r="U3596"/>
      <c r="V3596"/>
      <c r="W3596"/>
      <c r="X3596"/>
    </row>
    <row r="3597" spans="1:24" ht="60" customHeight="1">
      <c r="A3597" s="1337" t="s">
        <v>313</v>
      </c>
      <c r="B3597" s="1338"/>
      <c r="C3597" s="1338"/>
      <c r="D3597" s="1338"/>
      <c r="E3597" s="1338"/>
      <c r="F3597" s="1338"/>
      <c r="G3597" s="1338"/>
      <c r="H3597" s="1338"/>
      <c r="I3597" s="1338"/>
      <c r="J3597" s="1338"/>
      <c r="K3597" s="1338"/>
      <c r="L3597" s="1339"/>
      <c r="M3597" s="1146"/>
      <c r="N3597" s="1103"/>
      <c r="O3597"/>
      <c r="P3597" s="159"/>
      <c r="Q3597" s="147"/>
      <c r="R3597" s="149"/>
    </row>
    <row r="3598" spans="1:24" ht="75" customHeight="1">
      <c r="A3598" s="1406" t="s">
        <v>314</v>
      </c>
      <c r="B3598" s="1407"/>
      <c r="C3598" s="1408"/>
      <c r="D3598" s="1270" t="s">
        <v>2906</v>
      </c>
      <c r="E3598" s="1371"/>
      <c r="F3598" s="1371"/>
      <c r="G3598" s="1371"/>
      <c r="H3598" s="1371"/>
      <c r="I3598" s="1371"/>
      <c r="J3598" s="1371"/>
      <c r="K3598" s="1371"/>
      <c r="L3598" s="1372"/>
      <c r="M3598" s="1146"/>
      <c r="N3598" s="1103"/>
      <c r="O3598"/>
      <c r="P3598" s="159"/>
      <c r="Q3598" s="147"/>
      <c r="R3598" s="149"/>
    </row>
    <row r="3599" spans="1:24" ht="30" customHeight="1">
      <c r="A3599" s="1406" t="s">
        <v>316</v>
      </c>
      <c r="B3599" s="1407"/>
      <c r="C3599" s="1408"/>
      <c r="D3599" s="1270" t="s">
        <v>1969</v>
      </c>
      <c r="E3599" s="1371"/>
      <c r="F3599" s="1371"/>
      <c r="G3599" s="1371"/>
      <c r="H3599" s="1371"/>
      <c r="I3599" s="1371"/>
      <c r="J3599" s="1371"/>
      <c r="K3599" s="1371"/>
      <c r="L3599" s="1372"/>
      <c r="M3599" s="1146"/>
      <c r="N3599" s="125"/>
      <c r="O3599"/>
      <c r="P3599" s="159"/>
      <c r="Q3599" s="147"/>
      <c r="R3599" s="149"/>
    </row>
    <row r="3600" spans="1:24" ht="30" customHeight="1">
      <c r="A3600" s="1406" t="s">
        <v>317</v>
      </c>
      <c r="B3600" s="1407"/>
      <c r="C3600" s="1408"/>
      <c r="D3600" s="1270" t="s">
        <v>2907</v>
      </c>
      <c r="E3600" s="1371"/>
      <c r="F3600" s="1371"/>
      <c r="G3600" s="1371"/>
      <c r="H3600" s="1371"/>
      <c r="I3600" s="1371"/>
      <c r="J3600" s="1371"/>
      <c r="K3600" s="1371"/>
      <c r="L3600" s="1372"/>
      <c r="M3600" s="1146"/>
      <c r="N3600" s="193"/>
      <c r="O3600" s="34"/>
      <c r="P3600" s="283"/>
      <c r="Q3600" s="282"/>
      <c r="R3600" s="284"/>
    </row>
    <row r="3601" spans="1:24" ht="30" customHeight="1">
      <c r="A3601" s="1406" t="s">
        <v>318</v>
      </c>
      <c r="B3601" s="1407"/>
      <c r="C3601" s="1408"/>
      <c r="D3601" s="1270" t="s">
        <v>1970</v>
      </c>
      <c r="E3601" s="1371"/>
      <c r="F3601" s="1371"/>
      <c r="G3601" s="1371"/>
      <c r="H3601" s="1371"/>
      <c r="I3601" s="1371"/>
      <c r="J3601" s="1371"/>
      <c r="K3601" s="1371"/>
      <c r="L3601" s="1372"/>
      <c r="M3601" s="1146"/>
      <c r="O3601" s="34"/>
      <c r="P3601" s="283"/>
      <c r="Q3601" s="282"/>
      <c r="R3601" s="284"/>
    </row>
    <row r="3602" spans="1:24" ht="30" customHeight="1">
      <c r="A3602" s="1406" t="s">
        <v>320</v>
      </c>
      <c r="B3602" s="1407"/>
      <c r="C3602" s="1408"/>
      <c r="D3602" s="1270" t="s">
        <v>1971</v>
      </c>
      <c r="E3602" s="1371"/>
      <c r="F3602" s="1371"/>
      <c r="G3602" s="1371"/>
      <c r="H3602" s="1371"/>
      <c r="I3602" s="1371"/>
      <c r="J3602" s="1371"/>
      <c r="K3602" s="1371"/>
      <c r="L3602" s="1372"/>
      <c r="M3602" s="1146"/>
      <c r="O3602"/>
      <c r="P3602" s="159"/>
      <c r="Q3602" s="147"/>
      <c r="R3602" s="149"/>
    </row>
    <row r="3603" spans="1:24" ht="30" customHeight="1">
      <c r="A3603" s="1406" t="s">
        <v>322</v>
      </c>
      <c r="B3603" s="1407"/>
      <c r="C3603" s="1408"/>
      <c r="D3603" s="1270" t="s">
        <v>1972</v>
      </c>
      <c r="E3603" s="1371"/>
      <c r="F3603" s="1371"/>
      <c r="G3603" s="1371"/>
      <c r="H3603" s="1371"/>
      <c r="I3603" s="1371"/>
      <c r="J3603" s="1371"/>
      <c r="K3603" s="1371"/>
      <c r="L3603" s="1372"/>
      <c r="M3603" s="1146"/>
      <c r="O3603"/>
      <c r="P3603" s="159"/>
      <c r="Q3603" s="147"/>
      <c r="R3603" s="149"/>
    </row>
    <row r="3604" spans="1:24" ht="30" customHeight="1">
      <c r="A3604" s="1406" t="s">
        <v>324</v>
      </c>
      <c r="B3604" s="1407"/>
      <c r="C3604" s="1408"/>
      <c r="D3604" s="1270" t="s">
        <v>1973</v>
      </c>
      <c r="E3604" s="1371"/>
      <c r="F3604" s="1371"/>
      <c r="G3604" s="1371"/>
      <c r="H3604" s="1371"/>
      <c r="I3604" s="1371"/>
      <c r="J3604" s="1371"/>
      <c r="K3604" s="1371"/>
      <c r="L3604" s="1372"/>
      <c r="M3604" s="1146"/>
      <c r="N3604" s="1103"/>
      <c r="O3604"/>
      <c r="P3604" s="159"/>
      <c r="Q3604" s="147"/>
      <c r="R3604" s="149"/>
    </row>
    <row r="3605" spans="1:24" ht="75" customHeight="1">
      <c r="A3605" s="1406" t="s">
        <v>325</v>
      </c>
      <c r="B3605" s="1407"/>
      <c r="C3605" s="1408"/>
      <c r="D3605" s="1270" t="s">
        <v>391</v>
      </c>
      <c r="E3605" s="1371"/>
      <c r="F3605" s="1371"/>
      <c r="G3605" s="1371"/>
      <c r="H3605" s="1371"/>
      <c r="I3605" s="1371"/>
      <c r="J3605" s="1371"/>
      <c r="K3605" s="1371"/>
      <c r="L3605" s="1372"/>
      <c r="M3605" s="1146"/>
      <c r="N3605" s="1103"/>
      <c r="O3605"/>
      <c r="P3605" s="159"/>
      <c r="Q3605" s="147"/>
      <c r="R3605" s="149"/>
      <c r="T3605" s="38"/>
      <c r="U3605" s="38"/>
      <c r="V3605" s="38"/>
      <c r="W3605" s="38"/>
      <c r="X3605" s="38"/>
    </row>
    <row r="3606" spans="1:24" s="38" customFormat="1" ht="136.5" customHeight="1" thickBot="1">
      <c r="A3606" s="1602" t="s">
        <v>327</v>
      </c>
      <c r="B3606" s="1603"/>
      <c r="C3606" s="1604"/>
      <c r="D3606" s="1270" t="s">
        <v>2876</v>
      </c>
      <c r="E3606" s="1371"/>
      <c r="F3606" s="1371"/>
      <c r="G3606" s="1371"/>
      <c r="H3606" s="1371"/>
      <c r="I3606" s="1371"/>
      <c r="J3606" s="1371"/>
      <c r="K3606" s="1371"/>
      <c r="L3606" s="1372"/>
      <c r="M3606" s="1146"/>
      <c r="N3606" s="1103"/>
      <c r="P3606" s="159"/>
      <c r="Q3606" s="147"/>
      <c r="R3606" s="149"/>
      <c r="T3606"/>
      <c r="U3606"/>
      <c r="V3606"/>
      <c r="W3606"/>
      <c r="X3606"/>
    </row>
    <row r="3607" spans="1:24" ht="30" customHeight="1" thickBot="1">
      <c r="A3607" s="1165" t="s">
        <v>1974</v>
      </c>
      <c r="B3607" s="1166"/>
      <c r="C3607" s="1166"/>
      <c r="D3607" s="1166"/>
      <c r="E3607" s="1166"/>
      <c r="F3607" s="1166"/>
      <c r="G3607" s="1166"/>
      <c r="H3607" s="1166"/>
      <c r="I3607" s="1166"/>
      <c r="J3607" s="1166"/>
      <c r="K3607" s="1166"/>
      <c r="L3607" s="1167"/>
      <c r="M3607" s="1146"/>
      <c r="N3607" s="1103"/>
      <c r="O3607"/>
      <c r="P3607" s="159"/>
      <c r="Q3607" s="147"/>
      <c r="R3607" s="149"/>
    </row>
    <row r="3608" spans="1:24" ht="30" customHeight="1">
      <c r="A3608" s="81" t="s">
        <v>280</v>
      </c>
      <c r="B3608" s="82">
        <v>8221</v>
      </c>
      <c r="C3608" s="1228" t="s">
        <v>1975</v>
      </c>
      <c r="D3608" s="1229"/>
      <c r="E3608" s="74" t="s">
        <v>282</v>
      </c>
      <c r="F3608" s="75" t="s">
        <v>6</v>
      </c>
      <c r="G3608" s="58" t="s">
        <v>290</v>
      </c>
      <c r="H3608" s="104">
        <v>15168</v>
      </c>
      <c r="I3608" s="74" t="s">
        <v>283</v>
      </c>
      <c r="J3608" s="1199" t="s">
        <v>2569</v>
      </c>
      <c r="K3608" s="1199"/>
      <c r="L3608" s="1200"/>
      <c r="M3608" s="1146"/>
      <c r="N3608" s="1103"/>
      <c r="O3608"/>
      <c r="P3608" s="159"/>
      <c r="Q3608" s="147"/>
      <c r="R3608" s="149"/>
    </row>
    <row r="3609" spans="1:24" ht="30" customHeight="1">
      <c r="A3609" s="77" t="s">
        <v>293</v>
      </c>
      <c r="B3609" s="1232" t="s">
        <v>284</v>
      </c>
      <c r="C3609" s="1232"/>
      <c r="D3609" s="1232"/>
      <c r="E3609" s="96" t="s">
        <v>1939</v>
      </c>
      <c r="F3609" s="77" t="s">
        <v>294</v>
      </c>
      <c r="G3609" s="1365" t="s">
        <v>332</v>
      </c>
      <c r="H3609" s="1366"/>
      <c r="I3609" s="1233" t="s">
        <v>296</v>
      </c>
      <c r="J3609" s="1234"/>
      <c r="K3609" s="1303" t="s">
        <v>297</v>
      </c>
      <c r="L3609" s="1304"/>
      <c r="M3609" s="1146"/>
      <c r="N3609" s="282"/>
      <c r="O3609"/>
      <c r="P3609" s="159"/>
      <c r="Q3609" s="147"/>
      <c r="R3609" s="149"/>
    </row>
    <row r="3610" spans="1:24" ht="30" customHeight="1">
      <c r="A3610" s="20">
        <v>82210</v>
      </c>
      <c r="B3610" s="1176" t="s">
        <v>1976</v>
      </c>
      <c r="C3610" s="1177"/>
      <c r="D3610" s="1178"/>
      <c r="E3610" s="153"/>
      <c r="F3610" s="316"/>
      <c r="G3610" s="317"/>
      <c r="H3610" s="267"/>
      <c r="K3610" s="106"/>
      <c r="L3610" s="97"/>
      <c r="M3610" s="1146"/>
      <c r="N3610" s="282"/>
      <c r="O3610" s="34"/>
      <c r="P3610" s="283"/>
      <c r="Q3610" s="282"/>
      <c r="R3610" s="284"/>
    </row>
    <row r="3611" spans="1:24" ht="30" customHeight="1">
      <c r="A3611" s="20"/>
      <c r="B3611" s="1176" t="s">
        <v>1977</v>
      </c>
      <c r="C3611" s="1177"/>
      <c r="D3611" s="1178"/>
      <c r="E3611" s="714">
        <v>557</v>
      </c>
      <c r="F3611" s="316" t="s">
        <v>428</v>
      </c>
      <c r="G3611" s="317"/>
      <c r="H3611" s="267"/>
      <c r="I3611" s="1546">
        <f>+'2019 MILCON Inflation Table'!$F$18</f>
        <v>0.94232233454704462</v>
      </c>
      <c r="J3611" s="1547"/>
      <c r="K3611" s="106">
        <f>+E3611*I3611</f>
        <v>524.8735403427039</v>
      </c>
      <c r="L3611" s="97" t="s">
        <v>6</v>
      </c>
      <c r="M3611" s="1146"/>
      <c r="N3611" s="1103"/>
      <c r="O3611" s="34"/>
      <c r="P3611" s="283"/>
      <c r="Q3611" s="282"/>
      <c r="R3611" s="284"/>
    </row>
    <row r="3612" spans="1:24" ht="30" customHeight="1">
      <c r="A3612" s="20"/>
      <c r="B3612" s="1176" t="s">
        <v>1978</v>
      </c>
      <c r="C3612" s="1177"/>
      <c r="D3612" s="1178"/>
      <c r="E3612" s="153">
        <v>552</v>
      </c>
      <c r="F3612" s="316" t="s">
        <v>428</v>
      </c>
      <c r="G3612" s="317"/>
      <c r="H3612" s="267"/>
      <c r="I3612" s="1546">
        <f>+'2019 MILCON Inflation Table'!$F$18</f>
        <v>0.94232233454704462</v>
      </c>
      <c r="J3612" s="1547"/>
      <c r="K3612" s="106">
        <f t="shared" ref="K3612:K3618" si="61">+E3612*I3612</f>
        <v>520.16192866996857</v>
      </c>
      <c r="L3612" s="97" t="s">
        <v>6</v>
      </c>
      <c r="M3612" s="1146"/>
      <c r="N3612" s="1103"/>
      <c r="O3612"/>
      <c r="P3612" s="159"/>
      <c r="Q3612" s="147"/>
      <c r="R3612" s="149"/>
    </row>
    <row r="3613" spans="1:24" ht="30" customHeight="1">
      <c r="A3613" s="20"/>
      <c r="B3613" s="1176" t="s">
        <v>1979</v>
      </c>
      <c r="C3613" s="1177"/>
      <c r="D3613" s="1178"/>
      <c r="E3613" s="153">
        <v>552</v>
      </c>
      <c r="F3613" s="316" t="s">
        <v>428</v>
      </c>
      <c r="G3613" s="317"/>
      <c r="H3613" s="267"/>
      <c r="I3613" s="1546">
        <f>+'2019 MILCON Inflation Table'!$F$18</f>
        <v>0.94232233454704462</v>
      </c>
      <c r="J3613" s="1547"/>
      <c r="K3613" s="106">
        <f t="shared" si="61"/>
        <v>520.16192866996857</v>
      </c>
      <c r="L3613" s="97" t="s">
        <v>6</v>
      </c>
      <c r="M3613" s="1146"/>
      <c r="N3613" s="1103"/>
      <c r="O3613"/>
      <c r="P3613" s="159"/>
      <c r="Q3613" s="147"/>
      <c r="R3613" s="149"/>
    </row>
    <row r="3614" spans="1:24" ht="30" customHeight="1">
      <c r="A3614" s="20"/>
      <c r="B3614" s="1176" t="s">
        <v>1980</v>
      </c>
      <c r="C3614" s="1177"/>
      <c r="D3614" s="1178"/>
      <c r="E3614" s="153">
        <v>343</v>
      </c>
      <c r="F3614" s="316" t="s">
        <v>428</v>
      </c>
      <c r="G3614" s="317"/>
      <c r="H3614" s="267"/>
      <c r="I3614" s="1546">
        <f>+'2019 MILCON Inflation Table'!$F$18</f>
        <v>0.94232233454704462</v>
      </c>
      <c r="J3614" s="1547"/>
      <c r="K3614" s="106">
        <f t="shared" si="61"/>
        <v>323.2165607496363</v>
      </c>
      <c r="L3614" s="97" t="s">
        <v>6</v>
      </c>
      <c r="M3614" s="1146"/>
      <c r="N3614" s="1103"/>
      <c r="O3614"/>
      <c r="P3614" s="159"/>
      <c r="Q3614" s="147"/>
      <c r="R3614" s="149"/>
    </row>
    <row r="3615" spans="1:24" ht="30" customHeight="1">
      <c r="A3615" s="20"/>
      <c r="B3615" s="1176" t="s">
        <v>1981</v>
      </c>
      <c r="C3615" s="1177"/>
      <c r="D3615" s="1178"/>
      <c r="E3615" s="153">
        <v>343</v>
      </c>
      <c r="F3615" s="316" t="s">
        <v>428</v>
      </c>
      <c r="G3615" s="317"/>
      <c r="H3615" s="267"/>
      <c r="I3615" s="1546">
        <f>+'2019 MILCON Inflation Table'!$F$18</f>
        <v>0.94232233454704462</v>
      </c>
      <c r="J3615" s="1547"/>
      <c r="K3615" s="106">
        <f t="shared" si="61"/>
        <v>323.2165607496363</v>
      </c>
      <c r="L3615" s="97" t="s">
        <v>6</v>
      </c>
      <c r="M3615" s="1146"/>
      <c r="N3615" s="1103"/>
      <c r="O3615"/>
      <c r="P3615" s="159"/>
      <c r="Q3615" s="147"/>
      <c r="R3615" s="149"/>
      <c r="T3615" s="38"/>
      <c r="U3615" s="38"/>
      <c r="V3615" s="38"/>
      <c r="W3615" s="38"/>
      <c r="X3615" s="38"/>
    </row>
    <row r="3616" spans="1:24" s="38" customFormat="1" ht="30" customHeight="1">
      <c r="A3616" s="20"/>
      <c r="B3616" s="1267" t="s">
        <v>1982</v>
      </c>
      <c r="C3616" s="1267"/>
      <c r="D3616" s="1267"/>
      <c r="E3616" s="153">
        <v>381</v>
      </c>
      <c r="F3616" s="316" t="s">
        <v>428</v>
      </c>
      <c r="G3616" s="317"/>
      <c r="H3616" s="267"/>
      <c r="I3616" s="1546">
        <f>+'2019 MILCON Inflation Table'!$F$18</f>
        <v>0.94232233454704462</v>
      </c>
      <c r="J3616" s="1547"/>
      <c r="K3616" s="106">
        <f t="shared" si="61"/>
        <v>359.024809462424</v>
      </c>
      <c r="L3616" s="97" t="s">
        <v>6</v>
      </c>
      <c r="M3616" s="1146"/>
      <c r="N3616" s="1103"/>
      <c r="P3616" s="159"/>
      <c r="Q3616" s="147"/>
      <c r="R3616" s="149"/>
      <c r="T3616"/>
      <c r="U3616"/>
      <c r="V3616"/>
      <c r="W3616"/>
      <c r="X3616"/>
    </row>
    <row r="3617" spans="1:24" ht="30" customHeight="1">
      <c r="A3617" s="20"/>
      <c r="B3617" s="1267" t="s">
        <v>1983</v>
      </c>
      <c r="C3617" s="1267"/>
      <c r="D3617" s="1267"/>
      <c r="E3617" s="153">
        <v>414</v>
      </c>
      <c r="F3617" s="316" t="s">
        <v>428</v>
      </c>
      <c r="G3617" s="317"/>
      <c r="H3617" s="267"/>
      <c r="I3617" s="1546">
        <f>+'2019 MILCON Inflation Table'!$F$18</f>
        <v>0.94232233454704462</v>
      </c>
      <c r="J3617" s="1547"/>
      <c r="K3617" s="106">
        <f t="shared" si="61"/>
        <v>390.12144650247649</v>
      </c>
      <c r="L3617" s="97" t="s">
        <v>6</v>
      </c>
      <c r="M3617" s="1146"/>
      <c r="N3617" s="1103"/>
      <c r="O3617"/>
      <c r="P3617" s="159"/>
      <c r="Q3617" s="147"/>
      <c r="R3617" s="149"/>
    </row>
    <row r="3618" spans="1:24" ht="30" customHeight="1">
      <c r="A3618" s="20"/>
      <c r="B3618" s="1267" t="s">
        <v>1984</v>
      </c>
      <c r="C3618" s="1267"/>
      <c r="D3618" s="1267"/>
      <c r="E3618" s="153">
        <v>512</v>
      </c>
      <c r="F3618" s="316" t="s">
        <v>428</v>
      </c>
      <c r="G3618" s="317"/>
      <c r="H3618" s="267"/>
      <c r="I3618" s="1546">
        <f>+'2019 MILCON Inflation Table'!$F$18</f>
        <v>0.94232233454704462</v>
      </c>
      <c r="J3618" s="1547"/>
      <c r="K3618" s="106">
        <f t="shared" si="61"/>
        <v>482.46903528808684</v>
      </c>
      <c r="L3618" s="97" t="s">
        <v>6</v>
      </c>
      <c r="M3618" s="1146"/>
      <c r="N3618" s="1103"/>
      <c r="O3618"/>
      <c r="P3618" s="159"/>
      <c r="Q3618" s="147"/>
      <c r="R3618" s="149"/>
    </row>
    <row r="3619" spans="1:24" ht="30" customHeight="1">
      <c r="A3619" s="20">
        <v>82220</v>
      </c>
      <c r="B3619" s="1224" t="s">
        <v>2908</v>
      </c>
      <c r="C3619" s="1224"/>
      <c r="D3619" s="1224"/>
      <c r="E3619" s="153"/>
      <c r="F3619" s="316"/>
      <c r="G3619" s="317"/>
      <c r="H3619" s="267"/>
      <c r="I3619" s="530"/>
      <c r="J3619" s="531"/>
      <c r="K3619" s="106"/>
      <c r="L3619" s="97"/>
      <c r="M3619" s="1146"/>
      <c r="N3619" s="282"/>
      <c r="O3619"/>
      <c r="P3619" s="159"/>
      <c r="Q3619" s="147"/>
      <c r="R3619" s="149"/>
    </row>
    <row r="3620" spans="1:24" ht="30" customHeight="1">
      <c r="A3620" s="20"/>
      <c r="B3620" s="1681" t="s">
        <v>1985</v>
      </c>
      <c r="C3620" s="1180"/>
      <c r="D3620" s="1181"/>
      <c r="E3620" s="153">
        <v>408</v>
      </c>
      <c r="F3620" s="316" t="s">
        <v>428</v>
      </c>
      <c r="G3620" s="317"/>
      <c r="H3620" s="267"/>
      <c r="I3620" s="1546">
        <f>+'2019 MILCON Inflation Table'!$F$18</f>
        <v>0.94232233454704462</v>
      </c>
      <c r="J3620" s="1547"/>
      <c r="K3620" s="106">
        <f>+E3620*I3620</f>
        <v>384.46751249519423</v>
      </c>
      <c r="L3620" s="97" t="s">
        <v>6</v>
      </c>
      <c r="M3620" s="1146"/>
      <c r="N3620" s="282"/>
      <c r="O3620" s="34"/>
      <c r="P3620" s="283"/>
      <c r="Q3620" s="282"/>
      <c r="R3620" s="284"/>
    </row>
    <row r="3621" spans="1:24" ht="30" customHeight="1">
      <c r="A3621" s="20"/>
      <c r="B3621" s="1681" t="s">
        <v>1986</v>
      </c>
      <c r="C3621" s="1180"/>
      <c r="D3621" s="1181"/>
      <c r="E3621" s="714">
        <v>408</v>
      </c>
      <c r="F3621" s="316" t="s">
        <v>428</v>
      </c>
      <c r="G3621" s="317"/>
      <c r="H3621" s="267"/>
      <c r="I3621" s="1546">
        <f>+'2019 MILCON Inflation Table'!$F$18</f>
        <v>0.94232233454704462</v>
      </c>
      <c r="J3621" s="1547"/>
      <c r="K3621" s="106">
        <f>+E3621*I3621</f>
        <v>384.46751249519423</v>
      </c>
      <c r="L3621" s="97" t="s">
        <v>6</v>
      </c>
      <c r="M3621" s="1146"/>
      <c r="N3621" s="1103"/>
      <c r="O3621" s="34"/>
      <c r="P3621" s="283"/>
      <c r="Q3621" s="282"/>
      <c r="R3621" s="284"/>
    </row>
    <row r="3622" spans="1:24" ht="30" customHeight="1">
      <c r="A3622" s="20"/>
      <c r="B3622" s="1681" t="s">
        <v>1987</v>
      </c>
      <c r="C3622" s="1180"/>
      <c r="D3622" s="1181"/>
      <c r="E3622" s="153">
        <v>414</v>
      </c>
      <c r="F3622" s="316" t="s">
        <v>428</v>
      </c>
      <c r="G3622" s="317"/>
      <c r="H3622" s="267"/>
      <c r="I3622" s="1546">
        <f>+'2019 MILCON Inflation Table'!$F$18</f>
        <v>0.94232233454704462</v>
      </c>
      <c r="J3622" s="1547"/>
      <c r="K3622" s="106">
        <f>+E3622*I3622</f>
        <v>390.12144650247649</v>
      </c>
      <c r="L3622" s="97" t="s">
        <v>6</v>
      </c>
      <c r="M3622" s="1146"/>
      <c r="N3622" s="1103"/>
      <c r="O3622"/>
      <c r="P3622" s="159"/>
      <c r="Q3622" s="147"/>
      <c r="R3622" s="149"/>
      <c r="T3622" s="32"/>
      <c r="U3622" s="34"/>
    </row>
    <row r="3623" spans="1:24" ht="30" customHeight="1">
      <c r="A3623" s="20"/>
      <c r="B3623" s="1179" t="s">
        <v>1988</v>
      </c>
      <c r="C3623" s="1180"/>
      <c r="D3623" s="1181"/>
      <c r="E3623" s="153">
        <v>469</v>
      </c>
      <c r="F3623" s="316" t="s">
        <v>428</v>
      </c>
      <c r="G3623" s="317"/>
      <c r="H3623" s="267"/>
      <c r="I3623" s="1546">
        <f>+'2019 MILCON Inflation Table'!$F$18</f>
        <v>0.94232233454704462</v>
      </c>
      <c r="J3623" s="1547"/>
      <c r="K3623" s="106">
        <f>+E3623*I3623</f>
        <v>441.94917490256393</v>
      </c>
      <c r="L3623" s="97" t="s">
        <v>6</v>
      </c>
      <c r="M3623" s="1146"/>
      <c r="N3623" s="1103"/>
      <c r="O3623" s="33"/>
      <c r="P3623" s="32"/>
      <c r="Q3623" s="32"/>
      <c r="R3623" s="32"/>
      <c r="S3623" s="32"/>
      <c r="U3623" s="34"/>
    </row>
    <row r="3624" spans="1:24" ht="30" customHeight="1">
      <c r="A3624" s="20"/>
      <c r="B3624" s="1179" t="s">
        <v>1989</v>
      </c>
      <c r="C3624" s="1180"/>
      <c r="D3624" s="1181"/>
      <c r="E3624" s="153">
        <v>617</v>
      </c>
      <c r="F3624" s="316" t="s">
        <v>428</v>
      </c>
      <c r="G3624" s="317"/>
      <c r="H3624" s="267"/>
      <c r="I3624" s="1546">
        <f>+'2019 MILCON Inflation Table'!$F$18</f>
        <v>0.94232233454704462</v>
      </c>
      <c r="J3624" s="1547"/>
      <c r="K3624" s="106">
        <f>+E3624*I3624</f>
        <v>581.4128804155265</v>
      </c>
      <c r="L3624" s="97" t="s">
        <v>6</v>
      </c>
      <c r="M3624" s="1146"/>
      <c r="N3624" s="1103"/>
      <c r="U3624" s="32"/>
      <c r="V3624" s="32"/>
      <c r="W3624" s="32"/>
      <c r="X3624" s="32"/>
    </row>
    <row r="3625" spans="1:24" s="32" customFormat="1" ht="30" customHeight="1">
      <c r="A3625" s="20"/>
      <c r="B3625" s="207"/>
      <c r="C3625" s="208"/>
      <c r="D3625" s="155"/>
      <c r="E3625" s="287"/>
      <c r="F3625" s="527"/>
      <c r="G3625" s="272"/>
      <c r="H3625" s="267"/>
      <c r="I3625" s="530"/>
      <c r="J3625" s="339" t="s">
        <v>311</v>
      </c>
      <c r="K3625" s="106">
        <f>AVERAGE(K3611:K3624)</f>
        <v>432.74341055737352</v>
      </c>
      <c r="L3625" s="97" t="s">
        <v>6</v>
      </c>
      <c r="M3625" s="1146"/>
      <c r="N3625" s="1103"/>
      <c r="O3625" s="1119"/>
      <c r="P3625"/>
      <c r="Q3625"/>
      <c r="R3625"/>
      <c r="S3625"/>
      <c r="T3625" s="38"/>
      <c r="U3625" s="38"/>
      <c r="V3625" s="38"/>
      <c r="W3625" s="38"/>
      <c r="X3625" s="38"/>
    </row>
    <row r="3626" spans="1:24" s="38" customFormat="1" ht="30" customHeight="1" thickBot="1">
      <c r="A3626" s="20"/>
      <c r="B3626" s="1179"/>
      <c r="C3626" s="1180"/>
      <c r="D3626" s="1181"/>
      <c r="E3626" s="181"/>
      <c r="F3626" s="338"/>
      <c r="G3626" s="181"/>
      <c r="H3626" s="339"/>
      <c r="I3626" s="18"/>
      <c r="J3626" s="788" t="s">
        <v>289</v>
      </c>
      <c r="K3626" s="106">
        <f>+K3625</f>
        <v>432.74341055737352</v>
      </c>
      <c r="L3626" s="97" t="s">
        <v>6</v>
      </c>
      <c r="M3626" s="1146"/>
      <c r="N3626" s="1103"/>
      <c r="O3626" s="1119"/>
      <c r="T3626"/>
      <c r="U3626" s="32"/>
      <c r="V3626" s="32"/>
      <c r="W3626" s="32"/>
      <c r="X3626" s="32"/>
    </row>
    <row r="3627" spans="1:24" s="32" customFormat="1" ht="30" customHeight="1" thickBot="1">
      <c r="A3627" s="1165"/>
      <c r="B3627" s="1166"/>
      <c r="C3627" s="1166"/>
      <c r="D3627" s="1166"/>
      <c r="E3627" s="1166"/>
      <c r="F3627" s="1166"/>
      <c r="G3627" s="1166"/>
      <c r="H3627" s="1166"/>
      <c r="I3627" s="1166"/>
      <c r="J3627" s="1166"/>
      <c r="K3627" s="1166"/>
      <c r="L3627" s="1167"/>
      <c r="M3627" s="1146"/>
      <c r="N3627" s="1103"/>
      <c r="O3627" s="1119"/>
      <c r="P3627"/>
      <c r="Q3627"/>
      <c r="R3627"/>
      <c r="S3627"/>
      <c r="T3627" s="44"/>
      <c r="U3627"/>
      <c r="V3627"/>
      <c r="W3627"/>
      <c r="X3627"/>
    </row>
    <row r="3628" spans="1:24" ht="30" customHeight="1">
      <c r="A3628" s="27" t="s">
        <v>280</v>
      </c>
      <c r="B3628" s="82">
        <v>8231</v>
      </c>
      <c r="C3628" s="1393" t="s">
        <v>1990</v>
      </c>
      <c r="D3628" s="1394"/>
      <c r="E3628" s="30" t="s">
        <v>282</v>
      </c>
      <c r="F3628" s="31" t="s">
        <v>219</v>
      </c>
      <c r="G3628" s="58" t="s">
        <v>290</v>
      </c>
      <c r="H3628" s="76">
        <v>16650001</v>
      </c>
      <c r="I3628" s="30" t="s">
        <v>283</v>
      </c>
      <c r="J3628" s="1199" t="s">
        <v>2529</v>
      </c>
      <c r="K3628" s="1199"/>
      <c r="L3628" s="1200"/>
      <c r="M3628" s="1146"/>
      <c r="N3628" s="1103"/>
      <c r="P3628" s="34"/>
      <c r="Q3628" s="34"/>
      <c r="R3628" s="34"/>
      <c r="S3628" s="44"/>
      <c r="T3628" s="44"/>
    </row>
    <row r="3629" spans="1:24" ht="30" customHeight="1">
      <c r="A3629" s="37" t="s">
        <v>304</v>
      </c>
      <c r="B3629" s="1300" t="s">
        <v>330</v>
      </c>
      <c r="C3629" s="1301"/>
      <c r="D3629" s="1302"/>
      <c r="E3629" s="362" t="s">
        <v>295</v>
      </c>
      <c r="F3629" s="362" t="s">
        <v>331</v>
      </c>
      <c r="G3629" s="1356" t="s">
        <v>332</v>
      </c>
      <c r="H3629" s="1357"/>
      <c r="I3629" s="77" t="s">
        <v>305</v>
      </c>
      <c r="J3629" s="35"/>
      <c r="K3629" s="1303" t="s">
        <v>297</v>
      </c>
      <c r="L3629" s="1304"/>
      <c r="M3629" s="1146"/>
      <c r="N3629" s="282"/>
      <c r="P3629" s="34"/>
      <c r="Q3629" s="34"/>
      <c r="R3629" s="34"/>
      <c r="S3629" s="44"/>
    </row>
    <row r="3630" spans="1:24" ht="30" customHeight="1">
      <c r="A3630" s="45"/>
      <c r="C3630" s="196"/>
      <c r="D3630" s="197"/>
      <c r="E3630" s="68"/>
      <c r="F3630" s="68"/>
      <c r="G3630" s="755"/>
      <c r="H3630" s="756"/>
      <c r="I3630" s="757"/>
      <c r="J3630" s="45"/>
      <c r="K3630" s="213"/>
      <c r="L3630" s="45"/>
      <c r="M3630" s="1146"/>
      <c r="N3630" s="282"/>
      <c r="O3630"/>
      <c r="P3630" s="159"/>
      <c r="Q3630" s="147"/>
      <c r="R3630" s="149"/>
    </row>
    <row r="3631" spans="1:24" ht="30" customHeight="1">
      <c r="A3631" s="629" t="s">
        <v>1991</v>
      </c>
      <c r="B3631" s="1383" t="s">
        <v>1992</v>
      </c>
      <c r="C3631" s="1384"/>
      <c r="D3631" s="1385"/>
      <c r="E3631" s="335">
        <f>+(9550+11400)/2</f>
        <v>10475</v>
      </c>
      <c r="F3631" s="68" t="s">
        <v>10</v>
      </c>
      <c r="G3631" s="361">
        <f>+H3628</f>
        <v>16650001</v>
      </c>
      <c r="H3631" s="333" t="s">
        <v>1993</v>
      </c>
      <c r="I3631" s="20">
        <v>1.06</v>
      </c>
      <c r="J3631" s="45"/>
      <c r="K3631" s="758">
        <f>+E3631/G3631*I3631</f>
        <v>6.6687683682421404E-4</v>
      </c>
      <c r="L3631" s="68" t="s">
        <v>219</v>
      </c>
      <c r="M3631" s="1146"/>
      <c r="N3631" s="1103"/>
      <c r="O3631"/>
      <c r="P3631" s="159"/>
      <c r="Q3631" s="147"/>
      <c r="R3631" s="149"/>
    </row>
    <row r="3632" spans="1:24" ht="30" customHeight="1">
      <c r="A3632" s="629" t="s">
        <v>369</v>
      </c>
      <c r="B3632" s="1383" t="s">
        <v>1994</v>
      </c>
      <c r="C3632" s="1384"/>
      <c r="D3632" s="1385"/>
      <c r="E3632" s="335">
        <v>288000</v>
      </c>
      <c r="F3632" s="68" t="s">
        <v>10</v>
      </c>
      <c r="G3632" s="361">
        <f>+H3628</f>
        <v>16650001</v>
      </c>
      <c r="H3632" s="333" t="s">
        <v>1993</v>
      </c>
      <c r="I3632" s="20">
        <v>1.08</v>
      </c>
      <c r="J3632" s="45"/>
      <c r="K3632" s="1091">
        <f>+E3632/G3632*I3632</f>
        <v>1.86810799590943E-2</v>
      </c>
      <c r="L3632" s="68" t="s">
        <v>219</v>
      </c>
      <c r="M3632" s="1146"/>
      <c r="N3632" s="1103"/>
      <c r="O3632"/>
      <c r="P3632" s="159"/>
      <c r="Q3632" s="147"/>
      <c r="R3632" s="149"/>
      <c r="T3632" s="38"/>
      <c r="U3632" s="38"/>
      <c r="V3632" s="38"/>
      <c r="W3632" s="38"/>
      <c r="X3632" s="38"/>
    </row>
    <row r="3633" spans="1:24" s="38" customFormat="1" ht="30" customHeight="1">
      <c r="A3633" s="629" t="s">
        <v>2009</v>
      </c>
      <c r="B3633" s="1383" t="s">
        <v>2518</v>
      </c>
      <c r="C3633" s="1384"/>
      <c r="D3633" s="1385"/>
      <c r="E3633" s="335">
        <f>(38+41.75)/2</f>
        <v>39.875</v>
      </c>
      <c r="F3633" s="68" t="s">
        <v>344</v>
      </c>
      <c r="G3633" s="361">
        <f>+H3628</f>
        <v>16650001</v>
      </c>
      <c r="H3633" s="333" t="s">
        <v>2519</v>
      </c>
      <c r="I3633" s="20">
        <v>1.06</v>
      </c>
      <c r="J3633" s="45"/>
      <c r="K3633" s="758">
        <f>+E3633*520/G3633*I3633</f>
        <v>1.3200659867828237E-3</v>
      </c>
      <c r="L3633" s="68" t="s">
        <v>219</v>
      </c>
      <c r="M3633" s="1146"/>
      <c r="N3633" s="1103"/>
      <c r="P3633" s="159"/>
      <c r="Q3633" s="147"/>
      <c r="R3633" s="149"/>
      <c r="T3633"/>
      <c r="U3633"/>
      <c r="V3633"/>
      <c r="W3633"/>
      <c r="X3633"/>
    </row>
    <row r="3634" spans="1:24" ht="30" customHeight="1">
      <c r="A3634" s="629" t="s">
        <v>2009</v>
      </c>
      <c r="B3634" s="1383" t="s">
        <v>2520</v>
      </c>
      <c r="C3634" s="1384"/>
      <c r="D3634" s="1385"/>
      <c r="E3634" s="335">
        <f>(7150+8250)/2</f>
        <v>7700</v>
      </c>
      <c r="F3634" s="68" t="s">
        <v>10</v>
      </c>
      <c r="G3634" s="361">
        <f>+H3628</f>
        <v>16650001</v>
      </c>
      <c r="H3634" s="333" t="s">
        <v>2519</v>
      </c>
      <c r="I3634" s="20">
        <v>1.06</v>
      </c>
      <c r="J3634" s="45"/>
      <c r="K3634" s="758">
        <f>+E3634*4/G3634*I3634</f>
        <v>1.9608407230726293E-3</v>
      </c>
      <c r="L3634" s="68" t="s">
        <v>219</v>
      </c>
      <c r="M3634" s="1146"/>
      <c r="N3634" s="125"/>
      <c r="O3634"/>
      <c r="P3634" s="159"/>
      <c r="Q3634" s="147"/>
      <c r="R3634" s="149"/>
    </row>
    <row r="3635" spans="1:24" ht="30" customHeight="1">
      <c r="A3635" s="652"/>
      <c r="B3635" s="1386"/>
      <c r="C3635" s="1386"/>
      <c r="D3635" s="1386"/>
      <c r="E3635" s="213"/>
      <c r="F3635" s="45"/>
      <c r="G3635" s="45"/>
      <c r="H3635" s="45"/>
      <c r="I3635" s="45"/>
      <c r="J3635" s="45" t="s">
        <v>346</v>
      </c>
      <c r="K3635" s="1090">
        <f>SUM(K3631:K3632)</f>
        <v>1.9347956795918515E-2</v>
      </c>
      <c r="L3635" s="68" t="s">
        <v>219</v>
      </c>
      <c r="M3635" s="1146"/>
      <c r="N3635" s="193"/>
      <c r="O3635"/>
      <c r="P3635" s="159"/>
      <c r="Q3635" s="147"/>
      <c r="R3635" s="149"/>
    </row>
    <row r="3636" spans="1:24" ht="30" customHeight="1">
      <c r="A3636" s="45"/>
      <c r="B3636" s="189"/>
      <c r="C3636" s="189"/>
      <c r="D3636" s="189"/>
      <c r="E3636" s="213"/>
      <c r="F3636" s="1367" t="s">
        <v>308</v>
      </c>
      <c r="G3636" s="1208" t="s">
        <v>309</v>
      </c>
      <c r="H3636" s="1208"/>
      <c r="I3636" s="1208"/>
      <c r="J3636" s="1208"/>
      <c r="K3636" s="123">
        <v>1.06</v>
      </c>
      <c r="L3636" s="24"/>
      <c r="M3636" s="1146"/>
      <c r="O3636"/>
      <c r="P3636" s="159"/>
      <c r="Q3636" s="147"/>
      <c r="R3636" s="149"/>
    </row>
    <row r="3637" spans="1:24" ht="30" customHeight="1">
      <c r="A3637" s="45"/>
      <c r="B3637" s="189"/>
      <c r="C3637" s="189"/>
      <c r="D3637" s="189"/>
      <c r="E3637" s="213"/>
      <c r="F3637" s="1368"/>
      <c r="G3637" s="1209" t="s">
        <v>310</v>
      </c>
      <c r="H3637" s="1209"/>
      <c r="I3637" s="1209"/>
      <c r="J3637" s="1209"/>
      <c r="K3637" s="123">
        <v>1.07</v>
      </c>
      <c r="L3637" s="24"/>
      <c r="M3637" s="1146"/>
      <c r="O3637" s="34"/>
      <c r="P3637" s="283"/>
      <c r="Q3637" s="282"/>
      <c r="R3637" s="284"/>
    </row>
    <row r="3638" spans="1:24" ht="30" customHeight="1">
      <c r="A3638" s="45"/>
      <c r="B3638" s="250"/>
      <c r="C3638" s="250"/>
      <c r="D3638" s="250"/>
      <c r="E3638" s="20"/>
      <c r="F3638" s="20" t="s">
        <v>8</v>
      </c>
      <c r="G3638" s="18"/>
      <c r="H3638" s="18"/>
      <c r="I3638" s="18"/>
      <c r="J3638" s="18" t="s">
        <v>289</v>
      </c>
      <c r="K3638" s="1089">
        <f>+K3635*K3636/K3637</f>
        <v>1.9167134769788437E-2</v>
      </c>
      <c r="L3638" s="68" t="s">
        <v>219</v>
      </c>
      <c r="M3638" s="1146"/>
      <c r="O3638" s="34"/>
      <c r="P3638" s="283"/>
      <c r="Q3638" s="282"/>
      <c r="R3638" s="284"/>
    </row>
    <row r="3639" spans="1:24" ht="30" customHeight="1" thickBot="1">
      <c r="A3639" s="45"/>
      <c r="B3639" s="47"/>
      <c r="C3639" s="189"/>
      <c r="D3639" s="61"/>
      <c r="E3639" s="953"/>
      <c r="F3639" s="46"/>
      <c r="G3639" s="160" t="s">
        <v>312</v>
      </c>
      <c r="H3639" s="18"/>
      <c r="I3639" s="18"/>
      <c r="J3639" s="139">
        <f>VLOOKUP(B3628,'Mil Cost Premiums for RUCs'!$A$4:$R$266,18,FALSE)</f>
        <v>1.0905505199999999</v>
      </c>
      <c r="K3639" s="1089">
        <f>+K3638*J3639</f>
        <v>2.0902728790102857E-2</v>
      </c>
      <c r="L3639" s="68" t="s">
        <v>219</v>
      </c>
      <c r="M3639" s="1146"/>
      <c r="O3639"/>
      <c r="P3639" s="159"/>
      <c r="Q3639" s="147"/>
      <c r="R3639" s="149"/>
    </row>
    <row r="3640" spans="1:24" ht="30" customHeight="1" thickBot="1">
      <c r="A3640" s="1165"/>
      <c r="B3640" s="1166"/>
      <c r="C3640" s="1166"/>
      <c r="D3640" s="1166"/>
      <c r="E3640" s="1166"/>
      <c r="F3640" s="1166"/>
      <c r="G3640" s="1166"/>
      <c r="H3640" s="1166"/>
      <c r="I3640" s="1166"/>
      <c r="J3640" s="1166"/>
      <c r="K3640" s="1166"/>
      <c r="L3640" s="1167"/>
      <c r="M3640" s="1146"/>
      <c r="O3640"/>
      <c r="P3640" s="159"/>
      <c r="Q3640" s="147"/>
      <c r="R3640" s="149"/>
    </row>
    <row r="3641" spans="1:24" ht="30" customHeight="1">
      <c r="A3641" s="27" t="s">
        <v>280</v>
      </c>
      <c r="B3641" s="82">
        <v>8232</v>
      </c>
      <c r="C3641" s="1197" t="s">
        <v>1995</v>
      </c>
      <c r="D3641" s="1198"/>
      <c r="E3641" s="74" t="s">
        <v>282</v>
      </c>
      <c r="F3641" s="75" t="s">
        <v>10</v>
      </c>
      <c r="G3641" s="181" t="s">
        <v>281</v>
      </c>
      <c r="H3641" s="76">
        <v>1</v>
      </c>
      <c r="I3641" s="74" t="s">
        <v>283</v>
      </c>
      <c r="J3641" s="1199" t="s">
        <v>2529</v>
      </c>
      <c r="K3641" s="1199"/>
      <c r="L3641" s="1200"/>
      <c r="M3641" s="1146"/>
      <c r="N3641" s="1103"/>
      <c r="O3641"/>
      <c r="P3641" s="159"/>
      <c r="Q3641" s="147"/>
      <c r="R3641" s="149"/>
    </row>
    <row r="3642" spans="1:24" ht="30" customHeight="1">
      <c r="A3642" s="37" t="s">
        <v>304</v>
      </c>
      <c r="B3642" s="1201" t="s">
        <v>330</v>
      </c>
      <c r="C3642" s="1202"/>
      <c r="D3642" s="1203"/>
      <c r="E3642" s="150" t="s">
        <v>295</v>
      </c>
      <c r="F3642" s="150" t="s">
        <v>331</v>
      </c>
      <c r="G3642" s="1204" t="s">
        <v>332</v>
      </c>
      <c r="H3642" s="1205"/>
      <c r="I3642" s="77" t="s">
        <v>305</v>
      </c>
      <c r="J3642" s="77"/>
      <c r="K3642" s="1303" t="s">
        <v>297</v>
      </c>
      <c r="L3642" s="1304"/>
      <c r="M3642" s="1146"/>
      <c r="N3642" s="1103"/>
      <c r="O3642"/>
      <c r="P3642" s="159"/>
      <c r="Q3642" s="147"/>
      <c r="R3642" s="149"/>
      <c r="T3642" s="38"/>
      <c r="U3642" s="38"/>
      <c r="V3642" s="38"/>
      <c r="W3642" s="38"/>
      <c r="X3642" s="38"/>
    </row>
    <row r="3643" spans="1:24" s="38" customFormat="1" ht="30" customHeight="1">
      <c r="A3643" s="45" t="s">
        <v>369</v>
      </c>
      <c r="B3643" s="1224" t="s">
        <v>1996</v>
      </c>
      <c r="C3643" s="1224"/>
      <c r="D3643" s="1224"/>
      <c r="E3643" s="153">
        <v>94000</v>
      </c>
      <c r="F3643" s="317" t="s">
        <v>10</v>
      </c>
      <c r="G3643" s="761"/>
      <c r="H3643" s="267"/>
      <c r="I3643" s="267">
        <v>1.08</v>
      </c>
      <c r="J3643" s="20"/>
      <c r="K3643" s="153">
        <f>+E3643*I3643</f>
        <v>101520</v>
      </c>
      <c r="L3643" s="20" t="s">
        <v>10</v>
      </c>
      <c r="M3643" s="1146"/>
      <c r="N3643" s="1103"/>
      <c r="P3643" s="159"/>
      <c r="Q3643" s="147"/>
      <c r="R3643" s="149"/>
      <c r="T3643"/>
      <c r="U3643"/>
      <c r="V3643"/>
      <c r="W3643"/>
      <c r="X3643"/>
    </row>
    <row r="3644" spans="1:24" ht="30" customHeight="1">
      <c r="A3644" s="45"/>
      <c r="B3644" s="157"/>
      <c r="C3644" s="157"/>
      <c r="D3644" s="157"/>
      <c r="E3644" s="153"/>
      <c r="F3644" s="1174" t="s">
        <v>308</v>
      </c>
      <c r="G3644" s="1208" t="s">
        <v>309</v>
      </c>
      <c r="H3644" s="1208"/>
      <c r="I3644" s="1208"/>
      <c r="J3644" s="1208"/>
      <c r="K3644" s="123">
        <v>1.06</v>
      </c>
      <c r="L3644" s="10"/>
      <c r="M3644" s="1146"/>
      <c r="N3644" s="1103"/>
      <c r="O3644"/>
      <c r="P3644" s="159"/>
      <c r="Q3644" s="147"/>
      <c r="R3644" s="149"/>
    </row>
    <row r="3645" spans="1:24" ht="30" customHeight="1">
      <c r="A3645" s="45"/>
      <c r="B3645" s="157"/>
      <c r="C3645" s="157"/>
      <c r="D3645" s="157"/>
      <c r="E3645" s="153"/>
      <c r="F3645" s="1175"/>
      <c r="G3645" s="1209" t="s">
        <v>310</v>
      </c>
      <c r="H3645" s="1209"/>
      <c r="I3645" s="1209"/>
      <c r="J3645" s="1209"/>
      <c r="K3645" s="123">
        <v>1.07</v>
      </c>
      <c r="L3645" s="10"/>
      <c r="M3645" s="1146"/>
      <c r="N3645" s="1103"/>
      <c r="O3645" s="34"/>
      <c r="P3645" s="283"/>
      <c r="Q3645" s="282"/>
      <c r="R3645" s="284"/>
    </row>
    <row r="3646" spans="1:24" ht="30" customHeight="1">
      <c r="A3646" s="45"/>
      <c r="B3646" s="20"/>
      <c r="C3646" s="18"/>
      <c r="D3646" s="18"/>
      <c r="E3646" s="18"/>
      <c r="F3646" s="18"/>
      <c r="G3646" s="18"/>
      <c r="H3646" s="18"/>
      <c r="I3646" s="18"/>
      <c r="J3646" s="20" t="s">
        <v>289</v>
      </c>
      <c r="K3646" s="23">
        <f>+K3643*K3644/K3645</f>
        <v>100571.21495327103</v>
      </c>
      <c r="L3646" s="20" t="s">
        <v>10</v>
      </c>
      <c r="M3646" s="1146"/>
      <c r="N3646" s="282"/>
      <c r="O3646" s="34"/>
      <c r="P3646" s="283"/>
      <c r="Q3646" s="282"/>
      <c r="R3646" s="284"/>
    </row>
    <row r="3647" spans="1:24" ht="30" customHeight="1" thickBot="1">
      <c r="A3647" s="45"/>
      <c r="B3647" s="20"/>
      <c r="C3647" s="18"/>
      <c r="D3647" s="18"/>
      <c r="E3647" s="18"/>
      <c r="F3647" s="18"/>
      <c r="G3647" s="160" t="s">
        <v>312</v>
      </c>
      <c r="H3647" s="18"/>
      <c r="I3647" s="18"/>
      <c r="J3647" s="139">
        <f>VLOOKUP(B3641,'Mil Cost Premiums for RUCs'!$A$4:$R$266,18,FALSE)</f>
        <v>1.0905505199999999</v>
      </c>
      <c r="K3647" s="23">
        <f>+K3646*J3647</f>
        <v>109677.99076432148</v>
      </c>
      <c r="L3647" s="20" t="s">
        <v>10</v>
      </c>
      <c r="M3647" s="1146"/>
      <c r="N3647" s="282"/>
      <c r="O3647"/>
      <c r="P3647" s="159"/>
      <c r="Q3647" s="147"/>
      <c r="R3647" s="149"/>
    </row>
    <row r="3648" spans="1:24" ht="30" customHeight="1" thickBot="1">
      <c r="A3648" s="1165"/>
      <c r="B3648" s="1166"/>
      <c r="C3648" s="1166"/>
      <c r="D3648" s="1166"/>
      <c r="E3648" s="1166"/>
      <c r="F3648" s="1166"/>
      <c r="G3648" s="1166"/>
      <c r="H3648" s="1166"/>
      <c r="I3648" s="1166"/>
      <c r="J3648" s="1166"/>
      <c r="K3648" s="1166"/>
      <c r="L3648" s="1167"/>
      <c r="M3648" s="1146"/>
      <c r="N3648" s="1103"/>
      <c r="O3648"/>
      <c r="P3648" s="148"/>
      <c r="Q3648" s="147"/>
      <c r="R3648" s="149"/>
    </row>
    <row r="3649" spans="1:24" ht="30" customHeight="1">
      <c r="A3649" s="27" t="s">
        <v>280</v>
      </c>
      <c r="B3649" s="82">
        <v>8241</v>
      </c>
      <c r="C3649" s="1197" t="s">
        <v>1997</v>
      </c>
      <c r="D3649" s="1198"/>
      <c r="E3649" s="74" t="s">
        <v>282</v>
      </c>
      <c r="F3649" s="75" t="s">
        <v>6</v>
      </c>
      <c r="G3649" s="58" t="s">
        <v>290</v>
      </c>
      <c r="H3649" s="76">
        <v>8594</v>
      </c>
      <c r="I3649" s="74" t="s">
        <v>283</v>
      </c>
      <c r="J3649" s="1199" t="s">
        <v>2529</v>
      </c>
      <c r="K3649" s="1199"/>
      <c r="L3649" s="1200"/>
      <c r="M3649" s="1146"/>
      <c r="N3649" s="1103"/>
      <c r="O3649"/>
      <c r="P3649" s="148"/>
      <c r="Q3649" s="147"/>
      <c r="R3649" s="149"/>
    </row>
    <row r="3650" spans="1:24" ht="30" customHeight="1">
      <c r="A3650" s="37" t="s">
        <v>304</v>
      </c>
      <c r="B3650" s="1201" t="s">
        <v>330</v>
      </c>
      <c r="C3650" s="1202"/>
      <c r="D3650" s="1203"/>
      <c r="E3650" s="150" t="s">
        <v>295</v>
      </c>
      <c r="F3650" s="150" t="s">
        <v>331</v>
      </c>
      <c r="G3650" s="1204" t="s">
        <v>332</v>
      </c>
      <c r="H3650" s="1205"/>
      <c r="I3650" s="77" t="s">
        <v>305</v>
      </c>
      <c r="J3650" s="77"/>
      <c r="K3650" s="1303" t="s">
        <v>297</v>
      </c>
      <c r="L3650" s="1304"/>
      <c r="M3650" s="1146"/>
      <c r="N3650" s="1103"/>
      <c r="O3650"/>
      <c r="P3650" s="148"/>
      <c r="Q3650" s="147"/>
      <c r="R3650" s="149"/>
      <c r="T3650" s="38"/>
      <c r="U3650" s="38"/>
      <c r="V3650" s="38"/>
      <c r="W3650" s="38"/>
      <c r="X3650" s="38"/>
    </row>
    <row r="3651" spans="1:24" s="38" customFormat="1" ht="30" customHeight="1">
      <c r="A3651" s="45" t="s">
        <v>342</v>
      </c>
      <c r="B3651" s="1179" t="s">
        <v>1998</v>
      </c>
      <c r="C3651" s="1180"/>
      <c r="D3651" s="1181"/>
      <c r="E3651" s="335">
        <v>18.39</v>
      </c>
      <c r="F3651" s="22" t="s">
        <v>6</v>
      </c>
      <c r="G3651" s="521"/>
      <c r="H3651" s="333"/>
      <c r="I3651" s="20">
        <v>1.05</v>
      </c>
      <c r="J3651" s="20"/>
      <c r="K3651" s="335">
        <f>+E3651*I3651</f>
        <v>19.3095</v>
      </c>
      <c r="L3651" s="22" t="s">
        <v>6</v>
      </c>
      <c r="M3651" s="1146"/>
      <c r="N3651" s="1103"/>
      <c r="P3651" s="148"/>
      <c r="Q3651" s="147"/>
      <c r="R3651" s="149"/>
      <c r="T3651"/>
      <c r="U3651"/>
      <c r="V3651"/>
      <c r="W3651"/>
      <c r="X3651"/>
    </row>
    <row r="3652" spans="1:24" ht="30" customHeight="1">
      <c r="A3652" s="45" t="s">
        <v>342</v>
      </c>
      <c r="B3652" s="1179" t="s">
        <v>1999</v>
      </c>
      <c r="C3652" s="1180"/>
      <c r="D3652" s="1181"/>
      <c r="E3652" s="335">
        <v>18.170000000000002</v>
      </c>
      <c r="F3652" s="22" t="s">
        <v>6</v>
      </c>
      <c r="G3652" s="762"/>
      <c r="H3652" s="333"/>
      <c r="I3652" s="20">
        <v>1.05</v>
      </c>
      <c r="J3652" s="20"/>
      <c r="K3652" s="335">
        <f>+E3652*I3652</f>
        <v>19.078500000000002</v>
      </c>
      <c r="L3652" s="22" t="s">
        <v>6</v>
      </c>
      <c r="M3652" s="1146"/>
      <c r="N3652" s="1103"/>
      <c r="O3652"/>
      <c r="P3652" s="148"/>
      <c r="Q3652" s="147"/>
      <c r="R3652" s="149"/>
    </row>
    <row r="3653" spans="1:24" ht="30" customHeight="1">
      <c r="A3653" s="652"/>
      <c r="B3653" s="1267"/>
      <c r="C3653" s="1267"/>
      <c r="D3653" s="1267"/>
      <c r="E3653" s="153"/>
      <c r="F3653" s="20"/>
      <c r="G3653" s="20"/>
      <c r="H3653" s="20"/>
      <c r="I3653" s="20"/>
      <c r="J3653" s="20" t="s">
        <v>311</v>
      </c>
      <c r="K3653" s="153">
        <f>AVERAGE(K3651:K3652)</f>
        <v>19.194000000000003</v>
      </c>
      <c r="L3653" s="20" t="s">
        <v>6</v>
      </c>
      <c r="M3653" s="1146"/>
      <c r="N3653" s="1103"/>
      <c r="O3653" s="34"/>
      <c r="P3653" s="283"/>
      <c r="Q3653" s="282"/>
      <c r="R3653" s="284"/>
    </row>
    <row r="3654" spans="1:24" ht="30" customHeight="1">
      <c r="A3654" s="45"/>
      <c r="B3654" s="157"/>
      <c r="C3654" s="157"/>
      <c r="D3654" s="157"/>
      <c r="E3654" s="153"/>
      <c r="F3654" s="1174" t="s">
        <v>308</v>
      </c>
      <c r="G3654" s="1208" t="s">
        <v>309</v>
      </c>
      <c r="H3654" s="1208"/>
      <c r="I3654" s="1208"/>
      <c r="J3654" s="1208"/>
      <c r="K3654" s="123">
        <v>1.06</v>
      </c>
      <c r="L3654" s="10"/>
      <c r="M3654" s="1146"/>
      <c r="N3654" s="282"/>
      <c r="O3654" s="34"/>
      <c r="P3654" s="283"/>
      <c r="Q3654" s="282"/>
      <c r="R3654" s="284"/>
    </row>
    <row r="3655" spans="1:24" ht="30" customHeight="1">
      <c r="A3655" s="45"/>
      <c r="B3655" s="157"/>
      <c r="C3655" s="157"/>
      <c r="D3655" s="157"/>
      <c r="E3655" s="153"/>
      <c r="F3655" s="1175"/>
      <c r="G3655" s="1209" t="s">
        <v>310</v>
      </c>
      <c r="H3655" s="1209"/>
      <c r="I3655" s="1209"/>
      <c r="J3655" s="1209"/>
      <c r="K3655" s="123">
        <v>1.07</v>
      </c>
      <c r="L3655" s="10"/>
      <c r="M3655" s="1146"/>
      <c r="N3655" s="282"/>
      <c r="O3655"/>
      <c r="P3655" s="148"/>
      <c r="Q3655" s="147"/>
      <c r="R3655" s="149"/>
    </row>
    <row r="3656" spans="1:24" ht="30" customHeight="1">
      <c r="A3656" s="45"/>
      <c r="B3656" s="20"/>
      <c r="C3656" s="18"/>
      <c r="D3656" s="18"/>
      <c r="E3656" s="18"/>
      <c r="F3656" s="18"/>
      <c r="G3656" s="18"/>
      <c r="H3656" s="18"/>
      <c r="I3656" s="18"/>
      <c r="J3656" s="20" t="s">
        <v>289</v>
      </c>
      <c r="K3656" s="23">
        <f>+K3653*K3654/K3655</f>
        <v>19.014616822429907</v>
      </c>
      <c r="L3656" s="20" t="s">
        <v>6</v>
      </c>
      <c r="M3656" s="1146"/>
      <c r="N3656" s="1103"/>
      <c r="O3656"/>
      <c r="P3656" s="159"/>
      <c r="Q3656" s="147"/>
      <c r="R3656" s="149"/>
    </row>
    <row r="3657" spans="1:24" ht="30" customHeight="1" thickBot="1">
      <c r="A3657" s="45"/>
      <c r="B3657" s="20"/>
      <c r="C3657" s="18"/>
      <c r="D3657" s="18"/>
      <c r="E3657" s="18"/>
      <c r="F3657" s="18"/>
      <c r="G3657" s="160" t="s">
        <v>312</v>
      </c>
      <c r="H3657" s="18"/>
      <c r="I3657" s="18"/>
      <c r="J3657" s="139">
        <f>VLOOKUP(B3649,'Mil Cost Premiums for RUCs'!$A$4:$R$266,18,FALSE)</f>
        <v>1.0905505199999999</v>
      </c>
      <c r="K3657" s="23">
        <f>+K3656*J3657</f>
        <v>20.736400263301679</v>
      </c>
      <c r="L3657" s="20" t="s">
        <v>6</v>
      </c>
      <c r="M3657" s="1146"/>
      <c r="N3657" s="1103"/>
      <c r="O3657"/>
      <c r="P3657" s="159"/>
      <c r="Q3657" s="147"/>
      <c r="R3657" s="149"/>
    </row>
    <row r="3658" spans="1:24" ht="30" customHeight="1" thickBot="1">
      <c r="A3658" s="1165"/>
      <c r="B3658" s="1166"/>
      <c r="C3658" s="1166"/>
      <c r="D3658" s="1166"/>
      <c r="E3658" s="1166"/>
      <c r="F3658" s="1166"/>
      <c r="G3658" s="1166"/>
      <c r="H3658" s="1166"/>
      <c r="I3658" s="1166"/>
      <c r="J3658" s="1166"/>
      <c r="K3658" s="1166"/>
      <c r="L3658" s="1167"/>
      <c r="M3658" s="1146"/>
      <c r="N3658" s="1103"/>
      <c r="O3658"/>
      <c r="P3658" s="159"/>
      <c r="Q3658" s="147"/>
      <c r="R3658" s="149"/>
      <c r="T3658" s="38"/>
      <c r="U3658" s="38"/>
      <c r="V3658" s="38"/>
      <c r="W3658" s="38"/>
      <c r="X3658" s="38"/>
    </row>
    <row r="3659" spans="1:24" s="38" customFormat="1" ht="30" customHeight="1">
      <c r="A3659" s="108" t="s">
        <v>280</v>
      </c>
      <c r="B3659" s="163">
        <v>8261</v>
      </c>
      <c r="C3659" s="1290" t="s">
        <v>2000</v>
      </c>
      <c r="D3659" s="1291"/>
      <c r="E3659" s="216" t="s">
        <v>282</v>
      </c>
      <c r="F3659" s="217" t="s">
        <v>224</v>
      </c>
      <c r="G3659" s="58" t="s">
        <v>290</v>
      </c>
      <c r="H3659" s="245">
        <v>477</v>
      </c>
      <c r="I3659" s="216" t="s">
        <v>283</v>
      </c>
      <c r="J3659" s="1199" t="s">
        <v>2529</v>
      </c>
      <c r="K3659" s="1199"/>
      <c r="L3659" s="1200"/>
      <c r="M3659" s="1146"/>
      <c r="N3659" s="1103"/>
      <c r="P3659" s="159"/>
      <c r="Q3659" s="147"/>
      <c r="R3659" s="149"/>
      <c r="T3659"/>
      <c r="U3659"/>
      <c r="V3659"/>
      <c r="W3659"/>
      <c r="X3659"/>
    </row>
    <row r="3660" spans="1:24" ht="30" customHeight="1">
      <c r="A3660" s="294" t="s">
        <v>304</v>
      </c>
      <c r="B3660" s="1324" t="s">
        <v>330</v>
      </c>
      <c r="C3660" s="1325"/>
      <c r="D3660" s="1326"/>
      <c r="E3660" s="219" t="s">
        <v>295</v>
      </c>
      <c r="F3660" s="219" t="s">
        <v>331</v>
      </c>
      <c r="G3660" s="1327" t="s">
        <v>332</v>
      </c>
      <c r="H3660" s="1328"/>
      <c r="I3660" s="167" t="s">
        <v>305</v>
      </c>
      <c r="J3660" s="167"/>
      <c r="K3660" s="1303" t="s">
        <v>297</v>
      </c>
      <c r="L3660" s="1304"/>
      <c r="M3660" s="1146"/>
      <c r="N3660" s="1103"/>
      <c r="O3660"/>
      <c r="P3660" s="159"/>
      <c r="Q3660" s="147"/>
      <c r="R3660" s="149"/>
    </row>
    <row r="3661" spans="1:24" ht="30" customHeight="1">
      <c r="A3661" s="24" t="s">
        <v>2001</v>
      </c>
      <c r="B3661" s="1282" t="s">
        <v>2002</v>
      </c>
      <c r="C3661" s="1283"/>
      <c r="D3661" s="1284"/>
      <c r="E3661" s="299">
        <v>4575</v>
      </c>
      <c r="F3661" s="5" t="s">
        <v>224</v>
      </c>
      <c r="G3661" s="296"/>
      <c r="H3661" s="297"/>
      <c r="I3661" s="10">
        <v>1.07</v>
      </c>
      <c r="J3661" s="10"/>
      <c r="K3661" s="299">
        <f>+E3661*I3661</f>
        <v>4895.25</v>
      </c>
      <c r="L3661" s="5" t="s">
        <v>224</v>
      </c>
      <c r="M3661" s="1146"/>
      <c r="N3661" s="1103"/>
      <c r="O3661" s="34"/>
      <c r="P3661" s="283"/>
      <c r="Q3661" s="282"/>
      <c r="R3661" s="284"/>
    </row>
    <row r="3662" spans="1:24" ht="30" customHeight="1">
      <c r="A3662" s="24" t="s">
        <v>2001</v>
      </c>
      <c r="B3662" s="1282" t="s">
        <v>2003</v>
      </c>
      <c r="C3662" s="1283"/>
      <c r="D3662" s="1284"/>
      <c r="E3662" s="299">
        <v>4425</v>
      </c>
      <c r="F3662" s="5" t="s">
        <v>224</v>
      </c>
      <c r="G3662" s="749"/>
      <c r="H3662" s="297"/>
      <c r="I3662" s="10">
        <v>1.07</v>
      </c>
      <c r="J3662" s="10"/>
      <c r="K3662" s="299">
        <f>+E3662*I3662</f>
        <v>4734.75</v>
      </c>
      <c r="L3662" s="5" t="s">
        <v>224</v>
      </c>
      <c r="M3662" s="1146"/>
      <c r="N3662" s="282"/>
      <c r="O3662" s="34"/>
      <c r="P3662" s="283"/>
      <c r="Q3662" s="282"/>
      <c r="R3662" s="284"/>
    </row>
    <row r="3663" spans="1:24" ht="30" customHeight="1">
      <c r="A3663" s="765"/>
      <c r="B3663" s="1329"/>
      <c r="C3663" s="1329"/>
      <c r="D3663" s="1329"/>
      <c r="E3663" s="115"/>
      <c r="F3663" s="10"/>
      <c r="G3663" s="10"/>
      <c r="H3663" s="10"/>
      <c r="I3663" s="10"/>
      <c r="J3663" s="10" t="s">
        <v>311</v>
      </c>
      <c r="K3663" s="115">
        <f>AVERAGE(K3661:K3662)</f>
        <v>4815</v>
      </c>
      <c r="L3663" s="10" t="s">
        <v>224</v>
      </c>
      <c r="M3663" s="1146"/>
      <c r="N3663" s="282"/>
      <c r="O3663"/>
      <c r="P3663" s="159"/>
      <c r="Q3663" s="147"/>
      <c r="R3663" s="149"/>
    </row>
    <row r="3664" spans="1:24" ht="30" customHeight="1">
      <c r="A3664" s="45"/>
      <c r="B3664" s="157"/>
      <c r="C3664" s="157"/>
      <c r="D3664" s="157"/>
      <c r="E3664" s="153"/>
      <c r="F3664" s="1174" t="s">
        <v>308</v>
      </c>
      <c r="G3664" s="1208" t="s">
        <v>309</v>
      </c>
      <c r="H3664" s="1208"/>
      <c r="I3664" s="1208"/>
      <c r="J3664" s="1208"/>
      <c r="K3664" s="123">
        <v>1.06</v>
      </c>
      <c r="L3664" s="10"/>
      <c r="M3664" s="1146"/>
      <c r="N3664" s="1103"/>
      <c r="O3664"/>
      <c r="P3664" s="159"/>
      <c r="Q3664" s="147"/>
      <c r="R3664" s="149"/>
    </row>
    <row r="3665" spans="1:24" ht="30" customHeight="1">
      <c r="A3665" s="45"/>
      <c r="B3665" s="157"/>
      <c r="C3665" s="157"/>
      <c r="D3665" s="157"/>
      <c r="E3665" s="153"/>
      <c r="F3665" s="1175"/>
      <c r="G3665" s="1209" t="s">
        <v>310</v>
      </c>
      <c r="H3665" s="1209"/>
      <c r="I3665" s="1209"/>
      <c r="J3665" s="1209"/>
      <c r="K3665" s="123">
        <v>1.07</v>
      </c>
      <c r="L3665" s="10"/>
      <c r="M3665" s="1146"/>
      <c r="N3665" s="1103"/>
      <c r="O3665"/>
      <c r="P3665" s="159"/>
      <c r="Q3665" s="147"/>
      <c r="R3665" s="149"/>
    </row>
    <row r="3666" spans="1:24" ht="30" customHeight="1">
      <c r="A3666" s="24"/>
      <c r="B3666" s="10"/>
      <c r="C3666" s="13"/>
      <c r="D3666" s="13"/>
      <c r="E3666" s="13"/>
      <c r="F3666" s="13"/>
      <c r="G3666" s="13"/>
      <c r="H3666" s="13"/>
      <c r="I3666" s="13"/>
      <c r="J3666" s="10" t="s">
        <v>289</v>
      </c>
      <c r="K3666" s="14">
        <f>+K3663*K3664/K3665</f>
        <v>4770</v>
      </c>
      <c r="L3666" s="10" t="s">
        <v>224</v>
      </c>
      <c r="M3666" s="1146"/>
      <c r="N3666" s="1103"/>
      <c r="O3666"/>
      <c r="P3666" s="159"/>
      <c r="Q3666" s="147"/>
      <c r="R3666" s="149"/>
      <c r="T3666" s="38"/>
      <c r="U3666" s="38"/>
      <c r="V3666" s="38"/>
      <c r="W3666" s="38"/>
      <c r="X3666" s="38"/>
    </row>
    <row r="3667" spans="1:24" s="38" customFormat="1" ht="30" customHeight="1">
      <c r="A3667" s="24"/>
      <c r="B3667" s="10"/>
      <c r="C3667" s="13"/>
      <c r="D3667" s="13"/>
      <c r="E3667" s="13"/>
      <c r="F3667" s="13"/>
      <c r="G3667" s="235" t="s">
        <v>385</v>
      </c>
      <c r="H3667" s="13"/>
      <c r="I3667" s="13"/>
      <c r="J3667" s="139">
        <f>VLOOKUP(B3659,'Mil Cost Premiums for RUCs'!$A$4:$R$266,18,FALSE)</f>
        <v>1.0905505199999999</v>
      </c>
      <c r="K3667" s="14">
        <f>+K3666*J3667</f>
        <v>5201.9259803999994</v>
      </c>
      <c r="L3667" s="10" t="s">
        <v>224</v>
      </c>
      <c r="M3667" s="1146"/>
      <c r="N3667" s="1103"/>
      <c r="P3667" s="159"/>
      <c r="Q3667" s="147"/>
      <c r="R3667" s="149"/>
      <c r="T3667"/>
      <c r="U3667"/>
      <c r="V3667"/>
      <c r="W3667"/>
      <c r="X3667"/>
    </row>
    <row r="3668" spans="1:24" ht="77.25" customHeight="1">
      <c r="A3668" s="1337" t="s">
        <v>2004</v>
      </c>
      <c r="B3668" s="1338"/>
      <c r="C3668" s="1338"/>
      <c r="D3668" s="1338"/>
      <c r="E3668" s="1338"/>
      <c r="F3668" s="1338"/>
      <c r="G3668" s="1338"/>
      <c r="H3668" s="1338"/>
      <c r="I3668" s="1338"/>
      <c r="J3668" s="1338"/>
      <c r="K3668" s="1338"/>
      <c r="L3668" s="1339"/>
      <c r="M3668" s="1146"/>
      <c r="N3668" s="1103"/>
      <c r="O3668"/>
      <c r="P3668" s="159"/>
      <c r="Q3668" s="147"/>
      <c r="R3668" s="149"/>
    </row>
    <row r="3669" spans="1:24" ht="60" customHeight="1">
      <c r="A3669" s="1406" t="s">
        <v>314</v>
      </c>
      <c r="B3669" s="1407"/>
      <c r="C3669" s="1408"/>
      <c r="D3669" s="1270" t="s">
        <v>2789</v>
      </c>
      <c r="E3669" s="1371"/>
      <c r="F3669" s="1371"/>
      <c r="G3669" s="1371"/>
      <c r="H3669" s="1371"/>
      <c r="I3669" s="1371"/>
      <c r="J3669" s="1371"/>
      <c r="K3669" s="1371"/>
      <c r="L3669" s="1372"/>
      <c r="M3669" s="1146"/>
      <c r="N3669" s="1103"/>
      <c r="O3669"/>
      <c r="P3669" s="159"/>
      <c r="Q3669" s="147"/>
      <c r="R3669" s="149"/>
    </row>
    <row r="3670" spans="1:24" ht="30" customHeight="1">
      <c r="A3670" s="1406" t="s">
        <v>316</v>
      </c>
      <c r="B3670" s="1407"/>
      <c r="C3670" s="1408"/>
      <c r="D3670" s="1270" t="s">
        <v>2005</v>
      </c>
      <c r="E3670" s="1371"/>
      <c r="F3670" s="1371"/>
      <c r="G3670" s="1371"/>
      <c r="H3670" s="1371"/>
      <c r="I3670" s="1371"/>
      <c r="J3670" s="1371"/>
      <c r="K3670" s="1371"/>
      <c r="L3670" s="1372"/>
      <c r="M3670" s="1146"/>
      <c r="N3670" s="282"/>
      <c r="O3670"/>
      <c r="P3670" s="159"/>
      <c r="Q3670" s="147"/>
      <c r="R3670" s="149"/>
    </row>
    <row r="3671" spans="1:24" ht="30" customHeight="1">
      <c r="A3671" s="1406" t="s">
        <v>317</v>
      </c>
      <c r="B3671" s="1407"/>
      <c r="C3671" s="1408"/>
      <c r="D3671" s="1270" t="s">
        <v>2790</v>
      </c>
      <c r="E3671" s="1371"/>
      <c r="F3671" s="1371"/>
      <c r="G3671" s="1371"/>
      <c r="H3671" s="1371"/>
      <c r="I3671" s="1371"/>
      <c r="J3671" s="1371"/>
      <c r="K3671" s="1371"/>
      <c r="L3671" s="1372"/>
      <c r="M3671" s="1146"/>
      <c r="N3671" s="282"/>
      <c r="O3671" s="34"/>
      <c r="P3671" s="283"/>
      <c r="Q3671" s="282"/>
      <c r="R3671" s="284"/>
    </row>
    <row r="3672" spans="1:24" ht="45.75" customHeight="1">
      <c r="A3672" s="1406" t="s">
        <v>318</v>
      </c>
      <c r="B3672" s="1407"/>
      <c r="C3672" s="1408"/>
      <c r="D3672" s="1270" t="s">
        <v>2006</v>
      </c>
      <c r="E3672" s="1371"/>
      <c r="F3672" s="1371"/>
      <c r="G3672" s="1371"/>
      <c r="H3672" s="1371"/>
      <c r="I3672" s="1371"/>
      <c r="J3672" s="1371"/>
      <c r="K3672" s="1371"/>
      <c r="L3672" s="1372"/>
      <c r="M3672" s="1146"/>
      <c r="N3672" s="1103"/>
      <c r="O3672" s="34"/>
      <c r="P3672" s="283"/>
      <c r="Q3672" s="282"/>
      <c r="R3672" s="284"/>
    </row>
    <row r="3673" spans="1:24" ht="30" customHeight="1">
      <c r="A3673" s="1406" t="s">
        <v>320</v>
      </c>
      <c r="B3673" s="1407"/>
      <c r="C3673" s="1408"/>
      <c r="D3673" s="1270" t="s">
        <v>1971</v>
      </c>
      <c r="E3673" s="1371"/>
      <c r="F3673" s="1371"/>
      <c r="G3673" s="1371"/>
      <c r="H3673" s="1371"/>
      <c r="I3673" s="1371"/>
      <c r="J3673" s="1371"/>
      <c r="K3673" s="1371"/>
      <c r="L3673" s="1372"/>
      <c r="M3673" s="1146"/>
      <c r="N3673" s="1103"/>
      <c r="O3673"/>
      <c r="P3673" s="159"/>
      <c r="Q3673" s="147"/>
      <c r="R3673" s="149"/>
      <c r="T3673" s="32"/>
      <c r="U3673" s="34"/>
    </row>
    <row r="3674" spans="1:24" ht="30" customHeight="1">
      <c r="A3674" s="1406" t="s">
        <v>322</v>
      </c>
      <c r="B3674" s="1407"/>
      <c r="C3674" s="1408"/>
      <c r="D3674" s="1270" t="s">
        <v>1891</v>
      </c>
      <c r="E3674" s="1371"/>
      <c r="F3674" s="1371"/>
      <c r="G3674" s="1371"/>
      <c r="H3674" s="1371"/>
      <c r="I3674" s="1371"/>
      <c r="J3674" s="1371"/>
      <c r="K3674" s="1371"/>
      <c r="L3674" s="1372"/>
      <c r="M3674" s="1146"/>
      <c r="N3674" s="1103"/>
      <c r="O3674" s="33"/>
      <c r="P3674" s="32"/>
      <c r="Q3674" s="32"/>
      <c r="R3674" s="32"/>
      <c r="S3674" s="32"/>
      <c r="T3674" s="32"/>
      <c r="U3674" s="34"/>
    </row>
    <row r="3675" spans="1:24" ht="30" customHeight="1">
      <c r="A3675" s="1406" t="s">
        <v>324</v>
      </c>
      <c r="B3675" s="1407"/>
      <c r="C3675" s="1408"/>
      <c r="D3675" s="1270" t="s">
        <v>1892</v>
      </c>
      <c r="E3675" s="1371"/>
      <c r="F3675" s="1371"/>
      <c r="G3675" s="1371"/>
      <c r="H3675" s="1371"/>
      <c r="I3675" s="1371"/>
      <c r="J3675" s="1371"/>
      <c r="K3675" s="1371"/>
      <c r="L3675" s="1372"/>
      <c r="M3675" s="1146"/>
      <c r="N3675" s="1103"/>
      <c r="O3675" s="33"/>
      <c r="P3675" s="32"/>
      <c r="Q3675" s="32"/>
      <c r="R3675" s="32"/>
      <c r="S3675" s="32"/>
      <c r="T3675" s="32"/>
      <c r="U3675" s="32"/>
      <c r="V3675" s="32"/>
      <c r="W3675" s="32"/>
      <c r="X3675" s="32"/>
    </row>
    <row r="3676" spans="1:24" s="32" customFormat="1" ht="48" customHeight="1">
      <c r="A3676" s="1406" t="s">
        <v>325</v>
      </c>
      <c r="B3676" s="1407"/>
      <c r="C3676" s="1408"/>
      <c r="D3676" s="1270" t="s">
        <v>2007</v>
      </c>
      <c r="E3676" s="1371"/>
      <c r="F3676" s="1371"/>
      <c r="G3676" s="1371"/>
      <c r="H3676" s="1371"/>
      <c r="I3676" s="1371"/>
      <c r="J3676" s="1371"/>
      <c r="K3676" s="1371"/>
      <c r="L3676" s="1372"/>
      <c r="M3676" s="1146"/>
      <c r="N3676" s="1103"/>
      <c r="O3676" s="33"/>
      <c r="T3676" s="38"/>
      <c r="U3676" s="38"/>
      <c r="V3676" s="38"/>
      <c r="W3676" s="38"/>
      <c r="X3676" s="38"/>
    </row>
    <row r="3677" spans="1:24" s="38" customFormat="1" ht="123" customHeight="1" thickBot="1">
      <c r="A3677" s="1602" t="s">
        <v>327</v>
      </c>
      <c r="B3677" s="1603"/>
      <c r="C3677" s="1604"/>
      <c r="D3677" s="1270" t="s">
        <v>2791</v>
      </c>
      <c r="E3677" s="1371"/>
      <c r="F3677" s="1371"/>
      <c r="G3677" s="1371"/>
      <c r="H3677" s="1371"/>
      <c r="I3677" s="1371"/>
      <c r="J3677" s="1371"/>
      <c r="K3677" s="1371"/>
      <c r="L3677" s="1372"/>
      <c r="M3677" s="1146"/>
      <c r="N3677" s="1103"/>
      <c r="O3677" s="1119"/>
      <c r="T3677" s="44"/>
      <c r="U3677"/>
      <c r="V3677"/>
      <c r="W3677"/>
      <c r="X3677"/>
    </row>
    <row r="3678" spans="1:24" ht="30" customHeight="1" thickBot="1">
      <c r="A3678" s="1165"/>
      <c r="B3678" s="1166"/>
      <c r="C3678" s="1166"/>
      <c r="D3678" s="1166"/>
      <c r="E3678" s="1166"/>
      <c r="F3678" s="1166"/>
      <c r="G3678" s="1166"/>
      <c r="H3678" s="1166"/>
      <c r="I3678" s="1166"/>
      <c r="J3678" s="1166"/>
      <c r="K3678" s="1166"/>
      <c r="L3678" s="1167"/>
      <c r="M3678" s="1146"/>
      <c r="N3678" s="1103"/>
      <c r="P3678" s="34"/>
      <c r="Q3678" s="34"/>
      <c r="R3678" s="34"/>
      <c r="S3678" s="44"/>
      <c r="T3678" s="44"/>
    </row>
    <row r="3679" spans="1:24" ht="30" customHeight="1">
      <c r="A3679" s="27" t="s">
        <v>280</v>
      </c>
      <c r="B3679" s="82">
        <v>8271</v>
      </c>
      <c r="C3679" s="1228" t="s">
        <v>2008</v>
      </c>
      <c r="D3679" s="1229"/>
      <c r="E3679" s="74" t="s">
        <v>282</v>
      </c>
      <c r="F3679" s="75" t="s">
        <v>6</v>
      </c>
      <c r="G3679" s="58" t="s">
        <v>290</v>
      </c>
      <c r="H3679" s="701">
        <v>8140</v>
      </c>
      <c r="I3679" s="74" t="s">
        <v>283</v>
      </c>
      <c r="J3679" s="1199" t="s">
        <v>2529</v>
      </c>
      <c r="K3679" s="1199"/>
      <c r="L3679" s="1200"/>
      <c r="M3679" s="1146"/>
      <c r="N3679" s="1103"/>
      <c r="P3679" s="34"/>
      <c r="Q3679" s="34"/>
      <c r="R3679" s="34"/>
      <c r="S3679" s="44"/>
    </row>
    <row r="3680" spans="1:24" ht="30" customHeight="1">
      <c r="A3680" s="37" t="s">
        <v>304</v>
      </c>
      <c r="B3680" s="1201" t="s">
        <v>330</v>
      </c>
      <c r="C3680" s="1202"/>
      <c r="D3680" s="1203"/>
      <c r="E3680" s="150" t="s">
        <v>295</v>
      </c>
      <c r="F3680" s="150" t="s">
        <v>331</v>
      </c>
      <c r="G3680" s="1204" t="s">
        <v>332</v>
      </c>
      <c r="H3680" s="1205"/>
      <c r="I3680" s="77" t="s">
        <v>305</v>
      </c>
      <c r="J3680" s="77"/>
      <c r="K3680" s="1303" t="s">
        <v>297</v>
      </c>
      <c r="L3680" s="1304"/>
      <c r="M3680" s="1146"/>
      <c r="N3680" s="282"/>
      <c r="O3680"/>
      <c r="P3680" s="159"/>
      <c r="Q3680" s="147"/>
      <c r="R3680" s="149"/>
    </row>
    <row r="3681" spans="1:24" ht="30" customHeight="1">
      <c r="A3681" s="45" t="s">
        <v>2009</v>
      </c>
      <c r="B3681" s="207" t="s">
        <v>2010</v>
      </c>
      <c r="C3681" s="208"/>
      <c r="D3681" s="155"/>
      <c r="E3681" s="335">
        <f>+(46.25+52.5)/2</f>
        <v>49.375</v>
      </c>
      <c r="F3681" s="22" t="s">
        <v>6</v>
      </c>
      <c r="G3681" s="521"/>
      <c r="H3681" s="333"/>
      <c r="I3681" s="20">
        <v>1.06</v>
      </c>
      <c r="J3681" s="22"/>
      <c r="K3681" s="23">
        <f>+E3681*I3681</f>
        <v>52.337500000000006</v>
      </c>
      <c r="L3681" s="22" t="s">
        <v>6</v>
      </c>
      <c r="M3681" s="1146"/>
      <c r="N3681" s="282"/>
      <c r="O3681"/>
      <c r="P3681" s="159"/>
      <c r="Q3681" s="147"/>
      <c r="R3681" s="149"/>
    </row>
    <row r="3682" spans="1:24" ht="30" customHeight="1">
      <c r="A3682" s="45" t="s">
        <v>2009</v>
      </c>
      <c r="B3682" s="1179" t="s">
        <v>2011</v>
      </c>
      <c r="C3682" s="1180"/>
      <c r="D3682" s="1181"/>
      <c r="E3682" s="335">
        <f>E3681</f>
        <v>49.375</v>
      </c>
      <c r="F3682" s="22" t="s">
        <v>6</v>
      </c>
      <c r="G3682" s="766"/>
      <c r="H3682" s="703"/>
      <c r="I3682" s="20">
        <v>1.06</v>
      </c>
      <c r="J3682" s="20"/>
      <c r="K3682" s="335">
        <f>+K3681</f>
        <v>52.337500000000006</v>
      </c>
      <c r="L3682" s="22" t="s">
        <v>6</v>
      </c>
      <c r="M3682" s="1146"/>
      <c r="N3682" s="1103"/>
      <c r="O3682"/>
      <c r="P3682" s="159"/>
      <c r="Q3682" s="147"/>
      <c r="R3682" s="149"/>
      <c r="T3682" s="38"/>
      <c r="U3682" s="38"/>
      <c r="V3682" s="38"/>
      <c r="W3682" s="38"/>
      <c r="X3682" s="38"/>
    </row>
    <row r="3683" spans="1:24" s="38" customFormat="1" ht="30" customHeight="1">
      <c r="A3683" s="45" t="s">
        <v>2012</v>
      </c>
      <c r="B3683" s="1179" t="s">
        <v>2792</v>
      </c>
      <c r="C3683" s="1180"/>
      <c r="D3683" s="1181"/>
      <c r="E3683" s="153">
        <f>+(2650+4450)/2</f>
        <v>3550</v>
      </c>
      <c r="F3683" s="317" t="s">
        <v>10</v>
      </c>
      <c r="G3683" s="408">
        <v>316</v>
      </c>
      <c r="H3683" s="252" t="s">
        <v>2211</v>
      </c>
      <c r="I3683" s="20">
        <v>1.06</v>
      </c>
      <c r="J3683" s="22"/>
      <c r="K3683" s="211">
        <f>+E3683/G3683*I3683</f>
        <v>11.908227848101268</v>
      </c>
      <c r="L3683" s="20" t="s">
        <v>6</v>
      </c>
      <c r="M3683" s="1146"/>
      <c r="N3683" s="1103"/>
      <c r="P3683" s="159"/>
      <c r="Q3683" s="147"/>
      <c r="R3683" s="149"/>
      <c r="T3683" s="59"/>
      <c r="U3683" s="59"/>
      <c r="V3683" s="59"/>
      <c r="W3683" s="59"/>
      <c r="X3683" s="59"/>
    </row>
    <row r="3684" spans="1:24" s="59" customFormat="1" ht="30" customHeight="1">
      <c r="A3684" s="652"/>
      <c r="B3684" s="1267"/>
      <c r="C3684" s="1267"/>
      <c r="D3684" s="1267"/>
      <c r="E3684" s="153"/>
      <c r="F3684" s="20"/>
      <c r="G3684" s="22"/>
      <c r="H3684" s="22"/>
      <c r="I3684" s="20"/>
      <c r="J3684" s="20" t="s">
        <v>346</v>
      </c>
      <c r="K3684" s="153">
        <f>+K3681+K3682+K3683</f>
        <v>116.58322784810127</v>
      </c>
      <c r="L3684" s="20" t="s">
        <v>6</v>
      </c>
      <c r="M3684" s="1146"/>
      <c r="N3684" s="1103"/>
      <c r="O3684"/>
      <c r="P3684" s="159"/>
      <c r="Q3684" s="147"/>
      <c r="R3684" s="149"/>
      <c r="S3684"/>
    </row>
    <row r="3685" spans="1:24" s="59" customFormat="1" ht="30" customHeight="1">
      <c r="A3685" s="45"/>
      <c r="B3685" s="157"/>
      <c r="C3685" s="157"/>
      <c r="D3685" s="157"/>
      <c r="E3685" s="153"/>
      <c r="F3685" s="1174" t="s">
        <v>308</v>
      </c>
      <c r="G3685" s="1208" t="s">
        <v>309</v>
      </c>
      <c r="H3685" s="1208"/>
      <c r="I3685" s="1208"/>
      <c r="J3685" s="1208"/>
      <c r="K3685" s="123">
        <v>1.06</v>
      </c>
      <c r="L3685" s="10"/>
      <c r="M3685" s="1146"/>
      <c r="N3685" s="125"/>
      <c r="O3685"/>
      <c r="P3685" s="159"/>
      <c r="Q3685" s="147"/>
      <c r="R3685" s="149"/>
      <c r="S3685"/>
    </row>
    <row r="3686" spans="1:24" s="59" customFormat="1" ht="30" customHeight="1">
      <c r="A3686" s="45"/>
      <c r="B3686" s="157"/>
      <c r="C3686" s="157"/>
      <c r="D3686" s="157"/>
      <c r="E3686" s="153"/>
      <c r="F3686" s="1175"/>
      <c r="G3686" s="1209" t="s">
        <v>310</v>
      </c>
      <c r="H3686" s="1209"/>
      <c r="I3686" s="1209"/>
      <c r="J3686" s="1209"/>
      <c r="K3686" s="123">
        <v>1.07</v>
      </c>
      <c r="L3686" s="123"/>
      <c r="M3686" s="1146"/>
      <c r="N3686" s="968"/>
      <c r="O3686"/>
      <c r="P3686" s="159"/>
      <c r="Q3686" s="147"/>
      <c r="R3686" s="149"/>
    </row>
    <row r="3687" spans="1:24" s="59" customFormat="1" ht="30" customHeight="1">
      <c r="A3687" s="45"/>
      <c r="B3687" s="20"/>
      <c r="C3687" s="18"/>
      <c r="D3687" s="18"/>
      <c r="E3687" s="18"/>
      <c r="F3687" s="18"/>
      <c r="G3687" s="18"/>
      <c r="H3687" s="18"/>
      <c r="I3687" s="18"/>
      <c r="J3687" s="20" t="s">
        <v>289</v>
      </c>
      <c r="K3687" s="23">
        <f>+K3684*K3685/K3686</f>
        <v>115.49366497101622</v>
      </c>
      <c r="L3687" s="20" t="s">
        <v>6</v>
      </c>
      <c r="M3687" s="1146"/>
      <c r="N3687" s="125"/>
      <c r="O3687"/>
      <c r="P3687" s="159"/>
      <c r="Q3687" s="147"/>
      <c r="R3687" s="149"/>
      <c r="T3687"/>
      <c r="U3687"/>
      <c r="V3687"/>
      <c r="W3687"/>
      <c r="X3687"/>
    </row>
    <row r="3688" spans="1:24" ht="30" customHeight="1" thickBot="1">
      <c r="A3688" s="45"/>
      <c r="B3688" s="20"/>
      <c r="C3688" s="18"/>
      <c r="D3688" s="18"/>
      <c r="E3688" s="18"/>
      <c r="F3688" s="18"/>
      <c r="G3688" s="160" t="s">
        <v>312</v>
      </c>
      <c r="H3688" s="18"/>
      <c r="I3688" s="18"/>
      <c r="J3688" s="139">
        <f>VLOOKUP(B3679,'Mil Cost Premiums for RUCs'!$A$4:$R$266,18,FALSE)</f>
        <v>1.0905505199999999</v>
      </c>
      <c r="K3688" s="23">
        <f>+K3687*J3688</f>
        <v>125.9516763908475</v>
      </c>
      <c r="L3688" s="20" t="s">
        <v>6</v>
      </c>
      <c r="M3688" s="1146"/>
      <c r="O3688" s="34"/>
      <c r="P3688" s="283"/>
      <c r="Q3688" s="282"/>
      <c r="R3688" s="284"/>
    </row>
    <row r="3689" spans="1:24" ht="30" customHeight="1" thickBot="1">
      <c r="A3689" s="1165"/>
      <c r="B3689" s="1166"/>
      <c r="C3689" s="1166"/>
      <c r="D3689" s="1166"/>
      <c r="E3689" s="1166"/>
      <c r="F3689" s="1166"/>
      <c r="G3689" s="1166"/>
      <c r="H3689" s="1166"/>
      <c r="I3689" s="1166"/>
      <c r="J3689" s="1166"/>
      <c r="K3689" s="1166"/>
      <c r="L3689" s="1167"/>
      <c r="M3689" s="1146"/>
      <c r="O3689" s="34"/>
      <c r="P3689" s="283"/>
      <c r="Q3689" s="282"/>
      <c r="R3689" s="284"/>
      <c r="T3689" s="59"/>
      <c r="U3689" s="59"/>
      <c r="V3689" s="59"/>
      <c r="W3689" s="59"/>
      <c r="X3689" s="59"/>
    </row>
    <row r="3690" spans="1:24" s="59" customFormat="1" ht="30" customHeight="1">
      <c r="A3690" s="162" t="s">
        <v>280</v>
      </c>
      <c r="B3690" s="163">
        <v>8311</v>
      </c>
      <c r="C3690" s="1379" t="s">
        <v>2013</v>
      </c>
      <c r="D3690" s="1380"/>
      <c r="E3690" s="216" t="s">
        <v>282</v>
      </c>
      <c r="F3690" s="217" t="s">
        <v>227</v>
      </c>
      <c r="G3690" s="58" t="s">
        <v>290</v>
      </c>
      <c r="H3690" s="245">
        <v>1341</v>
      </c>
      <c r="I3690" s="216" t="s">
        <v>283</v>
      </c>
      <c r="J3690" s="1199" t="s">
        <v>2529</v>
      </c>
      <c r="K3690" s="1199"/>
      <c r="L3690" s="1200"/>
      <c r="M3690" s="1146"/>
      <c r="N3690" s="25"/>
      <c r="O3690"/>
      <c r="P3690" s="159"/>
      <c r="Q3690" s="147"/>
      <c r="R3690" s="149"/>
      <c r="T3690"/>
      <c r="U3690"/>
      <c r="V3690"/>
      <c r="W3690"/>
      <c r="X3690"/>
    </row>
    <row r="3691" spans="1:24" ht="30" customHeight="1">
      <c r="A3691" s="165" t="s">
        <v>304</v>
      </c>
      <c r="B3691" s="1324" t="s">
        <v>330</v>
      </c>
      <c r="C3691" s="1325"/>
      <c r="D3691" s="1326"/>
      <c r="E3691" s="219" t="s">
        <v>295</v>
      </c>
      <c r="F3691" s="219" t="s">
        <v>331</v>
      </c>
      <c r="G3691" s="1327" t="s">
        <v>332</v>
      </c>
      <c r="H3691" s="1328"/>
      <c r="I3691" s="167" t="s">
        <v>305</v>
      </c>
      <c r="J3691" s="167"/>
      <c r="K3691" s="1303" t="s">
        <v>297</v>
      </c>
      <c r="L3691" s="1304"/>
      <c r="M3691" s="1146"/>
      <c r="N3691" s="1103"/>
      <c r="O3691"/>
      <c r="P3691" s="159"/>
      <c r="Q3691" s="147"/>
      <c r="R3691" s="149"/>
    </row>
    <row r="3692" spans="1:24" ht="30" customHeight="1">
      <c r="A3692" s="10" t="s">
        <v>1189</v>
      </c>
      <c r="B3692" s="1162" t="s">
        <v>2014</v>
      </c>
      <c r="C3692" s="1163"/>
      <c r="D3692" s="1164"/>
      <c r="E3692" s="299">
        <f>+(4.11+8.55)/2</f>
        <v>6.33</v>
      </c>
      <c r="F3692" s="5" t="s">
        <v>5</v>
      </c>
      <c r="G3692" s="296">
        <v>1000</v>
      </c>
      <c r="H3692" s="297" t="s">
        <v>2021</v>
      </c>
      <c r="I3692" s="10">
        <v>1.05</v>
      </c>
      <c r="J3692" s="5"/>
      <c r="K3692" s="14">
        <f>+E3692*G3692*I3692</f>
        <v>6646.5</v>
      </c>
      <c r="L3692" s="5" t="s">
        <v>227</v>
      </c>
      <c r="M3692" s="1146"/>
      <c r="N3692" s="1103"/>
      <c r="O3692"/>
      <c r="P3692" s="159"/>
      <c r="Q3692" s="147"/>
      <c r="R3692" s="149"/>
    </row>
    <row r="3693" spans="1:24" ht="30" customHeight="1">
      <c r="A3693" s="45"/>
      <c r="B3693" s="157"/>
      <c r="C3693" s="157"/>
      <c r="D3693" s="157"/>
      <c r="E3693" s="153"/>
      <c r="F3693" s="1174" t="s">
        <v>308</v>
      </c>
      <c r="G3693" s="1208" t="s">
        <v>309</v>
      </c>
      <c r="H3693" s="1208"/>
      <c r="I3693" s="1208"/>
      <c r="J3693" s="1208"/>
      <c r="K3693" s="123">
        <v>1.06</v>
      </c>
      <c r="L3693" s="10"/>
      <c r="M3693" s="1146"/>
      <c r="N3693" s="1103"/>
      <c r="O3693"/>
      <c r="P3693" s="159"/>
      <c r="Q3693" s="147"/>
      <c r="R3693" s="149"/>
      <c r="T3693" s="38"/>
      <c r="U3693" s="38"/>
      <c r="V3693" s="38"/>
      <c r="W3693" s="38"/>
      <c r="X3693" s="38"/>
    </row>
    <row r="3694" spans="1:24" s="38" customFormat="1" ht="30" customHeight="1">
      <c r="A3694" s="45"/>
      <c r="B3694" s="157"/>
      <c r="C3694" s="157"/>
      <c r="D3694" s="157"/>
      <c r="E3694" s="153"/>
      <c r="F3694" s="1175"/>
      <c r="G3694" s="1209" t="s">
        <v>310</v>
      </c>
      <c r="H3694" s="1209"/>
      <c r="I3694" s="1209"/>
      <c r="J3694" s="1209"/>
      <c r="K3694" s="123">
        <v>1.07</v>
      </c>
      <c r="L3694" s="10"/>
      <c r="M3694" s="1146"/>
      <c r="N3694" s="657"/>
      <c r="P3694" s="159"/>
      <c r="Q3694" s="147"/>
      <c r="R3694" s="149"/>
      <c r="T3694"/>
      <c r="U3694"/>
      <c r="V3694"/>
      <c r="W3694"/>
      <c r="X3694"/>
    </row>
    <row r="3695" spans="1:24" ht="30" customHeight="1">
      <c r="A3695" s="10"/>
      <c r="B3695" s="119"/>
      <c r="C3695" s="120"/>
      <c r="D3695" s="121"/>
      <c r="E3695" s="299"/>
      <c r="F3695" s="5"/>
      <c r="G3695" s="749"/>
      <c r="H3695" s="297"/>
      <c r="I3695" s="10"/>
      <c r="J3695" s="10" t="s">
        <v>289</v>
      </c>
      <c r="K3695" s="14">
        <f>+K3692*K3693/K3694</f>
        <v>6584.3831775700928</v>
      </c>
      <c r="L3695" s="10" t="s">
        <v>227</v>
      </c>
      <c r="M3695" s="1146"/>
      <c r="N3695" s="1103"/>
      <c r="O3695"/>
      <c r="P3695" s="159"/>
      <c r="Q3695" s="147"/>
      <c r="R3695" s="149"/>
    </row>
    <row r="3696" spans="1:24" ht="30" customHeight="1">
      <c r="A3696" s="223"/>
      <c r="B3696" s="767"/>
      <c r="C3696" s="767"/>
      <c r="D3696" s="767"/>
      <c r="E3696" s="768"/>
      <c r="F3696" s="441"/>
      <c r="G3696" s="769"/>
      <c r="H3696" s="226"/>
      <c r="I3696" s="597" t="s">
        <v>312</v>
      </c>
      <c r="J3696" s="139">
        <f>VLOOKUP(B3690,'Mil Cost Premiums for RUCs'!$A$4:$R$266,18,FALSE)</f>
        <v>1.1199953840399997</v>
      </c>
      <c r="K3696" s="14">
        <f>+K3695*J3696</f>
        <v>7374.4787656291292</v>
      </c>
      <c r="L3696" s="10" t="s">
        <v>227</v>
      </c>
      <c r="M3696" s="1146"/>
      <c r="N3696" s="1103"/>
      <c r="O3696"/>
      <c r="P3696" s="159"/>
      <c r="Q3696" s="147"/>
      <c r="R3696" s="149"/>
    </row>
    <row r="3697" spans="1:24" ht="60" customHeight="1">
      <c r="A3697" s="1337" t="s">
        <v>313</v>
      </c>
      <c r="B3697" s="1338"/>
      <c r="C3697" s="1338"/>
      <c r="D3697" s="1338"/>
      <c r="E3697" s="1338"/>
      <c r="F3697" s="1338"/>
      <c r="G3697" s="1338"/>
      <c r="H3697" s="1338"/>
      <c r="I3697" s="1338"/>
      <c r="J3697" s="1338"/>
      <c r="K3697" s="1338"/>
      <c r="L3697" s="1339"/>
      <c r="M3697" s="1146"/>
      <c r="N3697" s="282"/>
      <c r="O3697"/>
      <c r="P3697" s="159"/>
      <c r="Q3697" s="147"/>
      <c r="R3697" s="149"/>
    </row>
    <row r="3698" spans="1:24" ht="30" customHeight="1">
      <c r="A3698" s="1406" t="s">
        <v>314</v>
      </c>
      <c r="B3698" s="1407"/>
      <c r="C3698" s="1408"/>
      <c r="D3698" s="1270" t="s">
        <v>2015</v>
      </c>
      <c r="E3698" s="1371"/>
      <c r="F3698" s="1371"/>
      <c r="G3698" s="1371"/>
      <c r="H3698" s="1371"/>
      <c r="I3698" s="1371"/>
      <c r="J3698" s="1371"/>
      <c r="K3698" s="1371"/>
      <c r="L3698" s="1372"/>
      <c r="M3698" s="1146"/>
      <c r="N3698" s="282"/>
      <c r="O3698"/>
      <c r="P3698" s="159"/>
      <c r="Q3698" s="147"/>
      <c r="R3698" s="149"/>
    </row>
    <row r="3699" spans="1:24" ht="105" customHeight="1">
      <c r="A3699" s="1406" t="s">
        <v>316</v>
      </c>
      <c r="B3699" s="1407"/>
      <c r="C3699" s="1408"/>
      <c r="D3699" s="1270" t="s">
        <v>2016</v>
      </c>
      <c r="E3699" s="1371"/>
      <c r="F3699" s="1371"/>
      <c r="G3699" s="1371"/>
      <c r="H3699" s="1371"/>
      <c r="I3699" s="1371"/>
      <c r="J3699" s="1371"/>
      <c r="K3699" s="1371"/>
      <c r="L3699" s="1372"/>
      <c r="M3699" s="1146"/>
      <c r="N3699" s="1103"/>
      <c r="O3699"/>
      <c r="P3699" s="159"/>
      <c r="Q3699" s="147"/>
      <c r="R3699" s="149"/>
    </row>
    <row r="3700" spans="1:24" ht="30" customHeight="1">
      <c r="A3700" s="1406" t="s">
        <v>317</v>
      </c>
      <c r="B3700" s="1407"/>
      <c r="C3700" s="1408"/>
      <c r="D3700" s="1270" t="s">
        <v>2793</v>
      </c>
      <c r="E3700" s="1371"/>
      <c r="F3700" s="1371"/>
      <c r="G3700" s="1371"/>
      <c r="H3700" s="1371"/>
      <c r="I3700" s="1371"/>
      <c r="J3700" s="1371"/>
      <c r="K3700" s="1371"/>
      <c r="L3700" s="1372"/>
      <c r="M3700" s="1146"/>
      <c r="N3700" s="1103"/>
      <c r="O3700" s="34"/>
      <c r="P3700" s="283"/>
      <c r="Q3700" s="282"/>
      <c r="R3700" s="284"/>
    </row>
    <row r="3701" spans="1:24" ht="30" customHeight="1">
      <c r="A3701" s="1406" t="s">
        <v>318</v>
      </c>
      <c r="B3701" s="1407"/>
      <c r="C3701" s="1408"/>
      <c r="D3701" s="1270" t="s">
        <v>2017</v>
      </c>
      <c r="E3701" s="1371"/>
      <c r="F3701" s="1371"/>
      <c r="G3701" s="1371"/>
      <c r="H3701" s="1371"/>
      <c r="I3701" s="1371"/>
      <c r="J3701" s="1371"/>
      <c r="K3701" s="1371"/>
      <c r="L3701" s="1372"/>
      <c r="M3701" s="1146"/>
      <c r="N3701" s="1103"/>
      <c r="O3701" s="34"/>
      <c r="P3701" s="283"/>
      <c r="Q3701" s="282"/>
      <c r="R3701" s="284"/>
    </row>
    <row r="3702" spans="1:24" ht="30" customHeight="1">
      <c r="A3702" s="1406" t="s">
        <v>320</v>
      </c>
      <c r="B3702" s="1407"/>
      <c r="C3702" s="1408"/>
      <c r="D3702" s="1270" t="s">
        <v>1971</v>
      </c>
      <c r="E3702" s="1371"/>
      <c r="F3702" s="1371"/>
      <c r="G3702" s="1371"/>
      <c r="H3702" s="1371"/>
      <c r="I3702" s="1371"/>
      <c r="J3702" s="1371"/>
      <c r="K3702" s="1371"/>
      <c r="L3702" s="1372"/>
      <c r="M3702" s="1146"/>
      <c r="N3702" s="1103"/>
      <c r="O3702"/>
      <c r="P3702" s="159"/>
      <c r="Q3702" s="147"/>
      <c r="R3702" s="149"/>
      <c r="T3702" s="32"/>
      <c r="U3702" s="34"/>
    </row>
    <row r="3703" spans="1:24" ht="30" customHeight="1">
      <c r="A3703" s="1406" t="s">
        <v>322</v>
      </c>
      <c r="B3703" s="1407"/>
      <c r="C3703" s="1408"/>
      <c r="D3703" s="1270" t="s">
        <v>4</v>
      </c>
      <c r="E3703" s="1371"/>
      <c r="F3703" s="1371"/>
      <c r="G3703" s="1371"/>
      <c r="H3703" s="1371"/>
      <c r="I3703" s="1371"/>
      <c r="J3703" s="1371"/>
      <c r="K3703" s="1371"/>
      <c r="L3703" s="1372"/>
      <c r="M3703" s="1146"/>
      <c r="N3703" s="1103"/>
      <c r="O3703" s="33"/>
      <c r="P3703" s="32"/>
      <c r="Q3703" s="32"/>
      <c r="R3703" s="32"/>
      <c r="S3703" s="32"/>
      <c r="T3703" s="32"/>
      <c r="U3703" s="34"/>
    </row>
    <row r="3704" spans="1:24" ht="30" customHeight="1">
      <c r="A3704" s="1406" t="s">
        <v>324</v>
      </c>
      <c r="B3704" s="1407"/>
      <c r="C3704" s="1408"/>
      <c r="D3704" s="1270" t="s">
        <v>1891</v>
      </c>
      <c r="E3704" s="1371"/>
      <c r="F3704" s="1371"/>
      <c r="G3704" s="1371"/>
      <c r="H3704" s="1371"/>
      <c r="I3704" s="1371"/>
      <c r="J3704" s="1371"/>
      <c r="K3704" s="1371"/>
      <c r="L3704" s="1372"/>
      <c r="M3704" s="1146"/>
      <c r="N3704" s="1103"/>
      <c r="O3704" s="33"/>
      <c r="P3704" s="32"/>
      <c r="Q3704" s="32"/>
      <c r="R3704" s="32"/>
      <c r="S3704" s="32"/>
      <c r="T3704" s="32"/>
      <c r="U3704" s="32"/>
      <c r="V3704" s="32"/>
      <c r="W3704" s="32"/>
      <c r="X3704" s="32"/>
    </row>
    <row r="3705" spans="1:24" s="32" customFormat="1" ht="60" customHeight="1">
      <c r="A3705" s="1406" t="s">
        <v>325</v>
      </c>
      <c r="B3705" s="1407"/>
      <c r="C3705" s="1408"/>
      <c r="D3705" s="1270" t="s">
        <v>2018</v>
      </c>
      <c r="E3705" s="1371"/>
      <c r="F3705" s="1371"/>
      <c r="G3705" s="1371"/>
      <c r="H3705" s="1371"/>
      <c r="I3705" s="1371"/>
      <c r="J3705" s="1371"/>
      <c r="K3705" s="1371"/>
      <c r="L3705" s="1372"/>
      <c r="M3705" s="1146"/>
      <c r="N3705" s="1103"/>
      <c r="O3705" s="33"/>
      <c r="T3705" s="38"/>
      <c r="U3705" s="38"/>
      <c r="V3705" s="38"/>
      <c r="W3705" s="38"/>
      <c r="X3705" s="38"/>
    </row>
    <row r="3706" spans="1:24" s="38" customFormat="1" ht="109.5" customHeight="1" thickBot="1">
      <c r="A3706" s="1498" t="s">
        <v>327</v>
      </c>
      <c r="B3706" s="1499"/>
      <c r="C3706" s="1500"/>
      <c r="D3706" s="1270" t="s">
        <v>2794</v>
      </c>
      <c r="E3706" s="1371"/>
      <c r="F3706" s="1371"/>
      <c r="G3706" s="1371"/>
      <c r="H3706" s="1371"/>
      <c r="I3706" s="1371"/>
      <c r="J3706" s="1371"/>
      <c r="K3706" s="1371"/>
      <c r="L3706" s="1372"/>
      <c r="M3706" s="1146"/>
      <c r="N3706" s="1103"/>
      <c r="O3706" s="1119"/>
      <c r="T3706"/>
      <c r="U3706" s="32"/>
      <c r="V3706" s="32"/>
      <c r="W3706" s="32"/>
      <c r="X3706" s="32"/>
    </row>
    <row r="3707" spans="1:24" s="32" customFormat="1" ht="30" customHeight="1" thickBot="1">
      <c r="A3707" s="1165"/>
      <c r="B3707" s="1166"/>
      <c r="C3707" s="1166"/>
      <c r="D3707" s="1166"/>
      <c r="E3707" s="1166"/>
      <c r="F3707" s="1166"/>
      <c r="G3707" s="1166"/>
      <c r="H3707" s="1166"/>
      <c r="I3707" s="1166"/>
      <c r="J3707" s="1166"/>
      <c r="K3707" s="1166"/>
      <c r="L3707" s="1167"/>
      <c r="M3707" s="1146"/>
      <c r="N3707" s="1103"/>
      <c r="O3707" s="1119"/>
      <c r="P3707"/>
      <c r="Q3707"/>
      <c r="R3707"/>
      <c r="S3707"/>
      <c r="T3707"/>
    </row>
    <row r="3708" spans="1:24" s="32" customFormat="1" ht="30" customHeight="1">
      <c r="A3708" s="27" t="s">
        <v>280</v>
      </c>
      <c r="B3708" s="82">
        <v>8312</v>
      </c>
      <c r="C3708" s="1197" t="s">
        <v>2019</v>
      </c>
      <c r="D3708" s="1198"/>
      <c r="E3708" s="74" t="s">
        <v>282</v>
      </c>
      <c r="F3708" s="75" t="s">
        <v>227</v>
      </c>
      <c r="G3708" s="58" t="s">
        <v>290</v>
      </c>
      <c r="H3708" s="76">
        <v>494</v>
      </c>
      <c r="I3708" s="74" t="s">
        <v>283</v>
      </c>
      <c r="J3708" s="1199" t="s">
        <v>2529</v>
      </c>
      <c r="K3708" s="1199"/>
      <c r="L3708" s="1200"/>
      <c r="M3708" s="1146"/>
      <c r="N3708" s="1103"/>
      <c r="O3708" s="1119"/>
      <c r="P3708"/>
      <c r="Q3708"/>
      <c r="R3708"/>
      <c r="S3708"/>
      <c r="T3708"/>
    </row>
    <row r="3709" spans="1:24" s="32" customFormat="1" ht="30" customHeight="1">
      <c r="A3709" s="37" t="s">
        <v>304</v>
      </c>
      <c r="B3709" s="1201" t="s">
        <v>330</v>
      </c>
      <c r="C3709" s="1202"/>
      <c r="D3709" s="1203"/>
      <c r="E3709" s="150" t="s">
        <v>295</v>
      </c>
      <c r="F3709" s="150" t="s">
        <v>331</v>
      </c>
      <c r="G3709" s="1204" t="s">
        <v>332</v>
      </c>
      <c r="H3709" s="1205"/>
      <c r="I3709" s="77" t="s">
        <v>305</v>
      </c>
      <c r="J3709" s="77"/>
      <c r="K3709" s="1303" t="s">
        <v>297</v>
      </c>
      <c r="L3709" s="1304"/>
      <c r="M3709" s="1146"/>
      <c r="N3709" s="282"/>
      <c r="O3709" s="1119"/>
      <c r="P3709"/>
      <c r="Q3709"/>
      <c r="R3709"/>
      <c r="S3709"/>
      <c r="T3709" s="44"/>
      <c r="U3709"/>
      <c r="V3709"/>
      <c r="W3709"/>
      <c r="X3709"/>
    </row>
    <row r="3710" spans="1:24" ht="30" customHeight="1">
      <c r="A3710" s="45" t="s">
        <v>1189</v>
      </c>
      <c r="B3710" s="1176" t="s">
        <v>2020</v>
      </c>
      <c r="C3710" s="1177"/>
      <c r="D3710" s="1178"/>
      <c r="E3710" s="335">
        <f>+(4.11+8.55)/2</f>
        <v>6.33</v>
      </c>
      <c r="F3710" s="22" t="s">
        <v>5</v>
      </c>
      <c r="G3710" s="521">
        <v>1000</v>
      </c>
      <c r="H3710" s="333" t="s">
        <v>2021</v>
      </c>
      <c r="I3710" s="20">
        <v>1.05</v>
      </c>
      <c r="J3710" s="22"/>
      <c r="K3710" s="23">
        <f>+E3710*G3710*I3710</f>
        <v>6646.5</v>
      </c>
      <c r="L3710" s="22" t="s">
        <v>227</v>
      </c>
      <c r="M3710" s="1146"/>
      <c r="N3710" s="282"/>
      <c r="P3710" s="34"/>
      <c r="Q3710" s="34"/>
      <c r="R3710" s="34"/>
      <c r="S3710" s="44"/>
      <c r="T3710" s="44"/>
    </row>
    <row r="3711" spans="1:24" ht="30" customHeight="1">
      <c r="A3711" s="45"/>
      <c r="B3711" s="157"/>
      <c r="C3711" s="157"/>
      <c r="D3711" s="157"/>
      <c r="E3711" s="153"/>
      <c r="F3711" s="1174" t="s">
        <v>308</v>
      </c>
      <c r="G3711" s="1208" t="s">
        <v>309</v>
      </c>
      <c r="H3711" s="1208"/>
      <c r="I3711" s="1208"/>
      <c r="J3711" s="1208"/>
      <c r="K3711" s="123">
        <v>1.06</v>
      </c>
      <c r="L3711" s="10"/>
      <c r="M3711" s="1146"/>
      <c r="N3711" s="1103"/>
      <c r="P3711" s="34"/>
      <c r="Q3711" s="34"/>
      <c r="R3711" s="34"/>
      <c r="S3711" s="44"/>
    </row>
    <row r="3712" spans="1:24" ht="30" customHeight="1">
      <c r="A3712" s="45"/>
      <c r="B3712" s="157"/>
      <c r="C3712" s="157"/>
      <c r="D3712" s="157"/>
      <c r="E3712" s="153"/>
      <c r="F3712" s="1175"/>
      <c r="G3712" s="1209" t="s">
        <v>310</v>
      </c>
      <c r="H3712" s="1209"/>
      <c r="I3712" s="1209"/>
      <c r="J3712" s="1209"/>
      <c r="K3712" s="123">
        <v>1.07</v>
      </c>
      <c r="L3712" s="10"/>
      <c r="M3712" s="1146"/>
      <c r="N3712" s="1103"/>
      <c r="O3712"/>
      <c r="P3712" s="159"/>
      <c r="Q3712" s="147"/>
      <c r="R3712" s="149"/>
    </row>
    <row r="3713" spans="1:24" ht="30" customHeight="1">
      <c r="A3713" s="45"/>
      <c r="B3713" s="207"/>
      <c r="C3713" s="208"/>
      <c r="D3713" s="155"/>
      <c r="E3713" s="335"/>
      <c r="F3713" s="22"/>
      <c r="G3713" s="762"/>
      <c r="H3713" s="333"/>
      <c r="I3713" s="20"/>
      <c r="J3713" s="20" t="s">
        <v>289</v>
      </c>
      <c r="K3713" s="23">
        <f>+K3710*K3711/K3712</f>
        <v>6584.3831775700928</v>
      </c>
      <c r="L3713" s="20" t="s">
        <v>227</v>
      </c>
      <c r="M3713" s="1146"/>
      <c r="N3713" s="1103"/>
      <c r="O3713"/>
      <c r="P3713" s="159"/>
      <c r="Q3713" s="147"/>
      <c r="R3713" s="149"/>
    </row>
    <row r="3714" spans="1:24" ht="30" customHeight="1" thickBot="1">
      <c r="A3714" s="45"/>
      <c r="B3714" s="20"/>
      <c r="C3714" s="18"/>
      <c r="D3714" s="18"/>
      <c r="E3714" s="18"/>
      <c r="F3714" s="18"/>
      <c r="G3714" s="160" t="s">
        <v>312</v>
      </c>
      <c r="H3714" s="18"/>
      <c r="I3714" s="18"/>
      <c r="J3714" s="139">
        <f>VLOOKUP(B3708,'Mil Cost Premiums for RUCs'!$A$4:$R$266,18,FALSE)</f>
        <v>1.1199953840399997</v>
      </c>
      <c r="K3714" s="23">
        <f>+K3713*J3714</f>
        <v>7374.4787656291292</v>
      </c>
      <c r="L3714" s="20" t="s">
        <v>227</v>
      </c>
      <c r="M3714" s="1146"/>
      <c r="N3714" s="125"/>
      <c r="O3714"/>
      <c r="P3714" s="159"/>
      <c r="Q3714" s="147"/>
      <c r="R3714" s="149"/>
      <c r="T3714" s="38"/>
      <c r="U3714" s="38"/>
      <c r="V3714" s="38"/>
      <c r="W3714" s="38"/>
      <c r="X3714" s="38"/>
    </row>
    <row r="3715" spans="1:24" s="38" customFormat="1" ht="30" customHeight="1" thickBot="1">
      <c r="A3715" s="1165"/>
      <c r="B3715" s="1166"/>
      <c r="C3715" s="1166"/>
      <c r="D3715" s="1166"/>
      <c r="E3715" s="1166"/>
      <c r="F3715" s="1166"/>
      <c r="G3715" s="1166"/>
      <c r="H3715" s="1166"/>
      <c r="I3715" s="1166"/>
      <c r="J3715" s="1166"/>
      <c r="K3715" s="1166"/>
      <c r="L3715" s="1167"/>
      <c r="M3715" s="1146"/>
      <c r="N3715" s="968"/>
      <c r="P3715" s="159"/>
      <c r="Q3715" s="147"/>
      <c r="R3715" s="149"/>
      <c r="T3715"/>
      <c r="U3715"/>
      <c r="V3715"/>
      <c r="W3715"/>
      <c r="X3715"/>
    </row>
    <row r="3716" spans="1:24" ht="30" customHeight="1">
      <c r="A3716" s="27" t="s">
        <v>280</v>
      </c>
      <c r="B3716" s="82">
        <v>8313</v>
      </c>
      <c r="C3716" s="1197" t="s">
        <v>2022</v>
      </c>
      <c r="D3716" s="1198"/>
      <c r="E3716" s="74" t="s">
        <v>282</v>
      </c>
      <c r="F3716" s="75" t="s">
        <v>227</v>
      </c>
      <c r="G3716" s="58" t="s">
        <v>290</v>
      </c>
      <c r="H3716" s="76">
        <v>343</v>
      </c>
      <c r="I3716" s="74" t="s">
        <v>283</v>
      </c>
      <c r="J3716" s="1199" t="s">
        <v>2529</v>
      </c>
      <c r="K3716" s="1199"/>
      <c r="L3716" s="1200"/>
      <c r="M3716" s="1146"/>
      <c r="N3716" s="125"/>
      <c r="O3716"/>
      <c r="P3716" s="159"/>
      <c r="Q3716" s="147"/>
      <c r="R3716" s="149"/>
    </row>
    <row r="3717" spans="1:24" ht="30" customHeight="1">
      <c r="A3717" s="37" t="s">
        <v>304</v>
      </c>
      <c r="B3717" s="1201" t="s">
        <v>330</v>
      </c>
      <c r="C3717" s="1202"/>
      <c r="D3717" s="1203"/>
      <c r="E3717" s="150" t="s">
        <v>295</v>
      </c>
      <c r="F3717" s="150" t="s">
        <v>331</v>
      </c>
      <c r="G3717" s="1204" t="s">
        <v>332</v>
      </c>
      <c r="H3717" s="1205"/>
      <c r="I3717" s="77" t="s">
        <v>305</v>
      </c>
      <c r="J3717" s="77"/>
      <c r="K3717" s="1303" t="s">
        <v>297</v>
      </c>
      <c r="L3717" s="1304"/>
      <c r="M3717" s="1146"/>
      <c r="N3717" s="125"/>
      <c r="O3717"/>
      <c r="P3717" s="159"/>
      <c r="Q3717" s="147"/>
      <c r="R3717" s="149"/>
    </row>
    <row r="3718" spans="1:24" ht="30" customHeight="1">
      <c r="A3718" s="45" t="s">
        <v>2023</v>
      </c>
      <c r="B3718" s="1176" t="s">
        <v>2024</v>
      </c>
      <c r="C3718" s="1177"/>
      <c r="D3718" s="1178"/>
      <c r="E3718" s="335">
        <v>14500</v>
      </c>
      <c r="F3718" s="22" t="s">
        <v>10</v>
      </c>
      <c r="G3718" s="1092">
        <f>+H3716</f>
        <v>343</v>
      </c>
      <c r="H3718" s="333" t="s">
        <v>2025</v>
      </c>
      <c r="I3718" s="326">
        <v>1.1000000000000001</v>
      </c>
      <c r="J3718" s="22"/>
      <c r="K3718" s="23">
        <f>+E3718/G3718*I3718</f>
        <v>46.501457725947525</v>
      </c>
      <c r="L3718" s="22" t="s">
        <v>227</v>
      </c>
      <c r="M3718" s="1146"/>
      <c r="N3718" s="125"/>
      <c r="O3718"/>
      <c r="P3718" s="159"/>
      <c r="Q3718" s="147"/>
      <c r="R3718" s="149"/>
    </row>
    <row r="3719" spans="1:24" ht="30" customHeight="1">
      <c r="A3719" s="45"/>
      <c r="B3719" s="157"/>
      <c r="C3719" s="157"/>
      <c r="D3719" s="157"/>
      <c r="E3719" s="153"/>
      <c r="F3719" s="1174" t="s">
        <v>308</v>
      </c>
      <c r="G3719" s="1208" t="s">
        <v>309</v>
      </c>
      <c r="H3719" s="1208"/>
      <c r="I3719" s="1208"/>
      <c r="J3719" s="1208"/>
      <c r="K3719" s="123">
        <v>1.06</v>
      </c>
      <c r="L3719" s="10"/>
      <c r="M3719" s="1146"/>
      <c r="O3719"/>
      <c r="P3719" s="159"/>
      <c r="Q3719" s="147"/>
      <c r="R3719" s="149"/>
    </row>
    <row r="3720" spans="1:24" ht="30" customHeight="1">
      <c r="A3720" s="45"/>
      <c r="B3720" s="157"/>
      <c r="C3720" s="157"/>
      <c r="D3720" s="157"/>
      <c r="E3720" s="153"/>
      <c r="F3720" s="1175"/>
      <c r="G3720" s="1209" t="s">
        <v>310</v>
      </c>
      <c r="H3720" s="1209"/>
      <c r="I3720" s="1209"/>
      <c r="J3720" s="1209"/>
      <c r="K3720" s="123">
        <v>1.07</v>
      </c>
      <c r="L3720" s="10"/>
      <c r="M3720" s="1146"/>
      <c r="O3720"/>
      <c r="P3720" s="159"/>
      <c r="Q3720" s="147"/>
      <c r="R3720" s="149"/>
    </row>
    <row r="3721" spans="1:24" ht="30" customHeight="1">
      <c r="A3721" s="45"/>
      <c r="B3721" s="207"/>
      <c r="C3721" s="208"/>
      <c r="D3721" s="155"/>
      <c r="E3721" s="335"/>
      <c r="F3721" s="22"/>
      <c r="G3721" s="762"/>
      <c r="H3721" s="333"/>
      <c r="I3721" s="20"/>
      <c r="J3721" s="20" t="s">
        <v>289</v>
      </c>
      <c r="K3721" s="23">
        <f>+K3718*K3719/K3720</f>
        <v>46.066864663088197</v>
      </c>
      <c r="L3721" s="20" t="s">
        <v>227</v>
      </c>
      <c r="M3721" s="1146"/>
      <c r="O3721"/>
      <c r="P3721" s="159"/>
      <c r="Q3721" s="147"/>
      <c r="R3721" s="149"/>
    </row>
    <row r="3722" spans="1:24" ht="30" customHeight="1" thickBot="1">
      <c r="A3722" s="45"/>
      <c r="B3722" s="20"/>
      <c r="C3722" s="18"/>
      <c r="D3722" s="18"/>
      <c r="E3722" s="18"/>
      <c r="F3722" s="18"/>
      <c r="G3722" s="160" t="s">
        <v>312</v>
      </c>
      <c r="H3722" s="18"/>
      <c r="I3722" s="18"/>
      <c r="J3722" s="139">
        <f>VLOOKUP(B3716,'Mil Cost Premiums for RUCs'!$A$4:$R$266,18,FALSE)</f>
        <v>1.1199953840399997</v>
      </c>
      <c r="K3722" s="23">
        <f>+K3721*J3722</f>
        <v>51.594675779854157</v>
      </c>
      <c r="L3722" s="20" t="s">
        <v>227</v>
      </c>
      <c r="M3722" s="1146"/>
      <c r="O3722"/>
      <c r="P3722" s="159"/>
      <c r="Q3722" s="147"/>
      <c r="R3722" s="149"/>
    </row>
    <row r="3723" spans="1:24" ht="30" customHeight="1" thickBot="1">
      <c r="A3723" s="1165"/>
      <c r="B3723" s="1166"/>
      <c r="C3723" s="1166"/>
      <c r="D3723" s="1166"/>
      <c r="E3723" s="1166"/>
      <c r="F3723" s="1166"/>
      <c r="G3723" s="1166"/>
      <c r="H3723" s="1166"/>
      <c r="I3723" s="1166"/>
      <c r="J3723" s="1166"/>
      <c r="K3723" s="1166"/>
      <c r="L3723" s="1167"/>
      <c r="M3723" s="1146"/>
      <c r="N3723" s="1103"/>
      <c r="O3723" s="34"/>
      <c r="P3723" s="283"/>
      <c r="Q3723" s="282"/>
      <c r="R3723" s="284"/>
    </row>
    <row r="3724" spans="1:24" ht="30" customHeight="1">
      <c r="A3724" s="27" t="s">
        <v>280</v>
      </c>
      <c r="B3724" s="82">
        <v>8314</v>
      </c>
      <c r="C3724" s="1197" t="s">
        <v>2026</v>
      </c>
      <c r="D3724" s="1198"/>
      <c r="E3724" s="74" t="s">
        <v>282</v>
      </c>
      <c r="F3724" s="75" t="s">
        <v>5</v>
      </c>
      <c r="G3724" s="58" t="s">
        <v>290</v>
      </c>
      <c r="H3724" s="76">
        <v>8360</v>
      </c>
      <c r="I3724" s="74" t="s">
        <v>283</v>
      </c>
      <c r="J3724" s="1199" t="s">
        <v>2529</v>
      </c>
      <c r="K3724" s="1199"/>
      <c r="L3724" s="1200"/>
      <c r="M3724" s="1146"/>
      <c r="N3724" s="1103"/>
      <c r="O3724" s="34"/>
      <c r="P3724" s="283"/>
      <c r="Q3724" s="282"/>
      <c r="R3724" s="284"/>
    </row>
    <row r="3725" spans="1:24" ht="30" customHeight="1">
      <c r="A3725" s="37" t="s">
        <v>304</v>
      </c>
      <c r="B3725" s="1201" t="s">
        <v>330</v>
      </c>
      <c r="C3725" s="1202"/>
      <c r="D3725" s="1203"/>
      <c r="E3725" s="150" t="s">
        <v>295</v>
      </c>
      <c r="F3725" s="150" t="s">
        <v>331</v>
      </c>
      <c r="G3725" s="1204" t="s">
        <v>332</v>
      </c>
      <c r="H3725" s="1205"/>
      <c r="I3725" s="77" t="s">
        <v>305</v>
      </c>
      <c r="J3725" s="77"/>
      <c r="K3725" s="1303" t="s">
        <v>297</v>
      </c>
      <c r="L3725" s="1304"/>
      <c r="M3725" s="1146"/>
      <c r="P3725" s="159"/>
      <c r="Q3725" s="147"/>
      <c r="R3725" s="149"/>
    </row>
    <row r="3726" spans="1:24" ht="30" customHeight="1">
      <c r="A3726" s="45" t="s">
        <v>508</v>
      </c>
      <c r="B3726" s="207" t="s">
        <v>2027</v>
      </c>
      <c r="C3726" s="208"/>
      <c r="D3726" s="155"/>
      <c r="E3726" s="335">
        <f>+(15200+18900)/2</f>
        <v>17050</v>
      </c>
      <c r="F3726" s="22" t="s">
        <v>10</v>
      </c>
      <c r="G3726" s="770">
        <v>10000</v>
      </c>
      <c r="H3726" s="333" t="s">
        <v>1321</v>
      </c>
      <c r="I3726" s="20">
        <v>1.08</v>
      </c>
      <c r="J3726" s="22"/>
      <c r="K3726" s="23">
        <f>+E3726/G3726*I3726</f>
        <v>1.8414000000000001</v>
      </c>
      <c r="L3726" s="22" t="s">
        <v>5</v>
      </c>
      <c r="M3726" s="1146"/>
      <c r="N3726" s="1103"/>
      <c r="O3726" s="38"/>
      <c r="P3726" s="159"/>
      <c r="Q3726" s="147"/>
      <c r="R3726" s="149"/>
    </row>
    <row r="3727" spans="1:24" ht="30" customHeight="1">
      <c r="A3727" s="45" t="s">
        <v>508</v>
      </c>
      <c r="B3727" s="207" t="s">
        <v>2028</v>
      </c>
      <c r="C3727" s="208"/>
      <c r="D3727" s="155"/>
      <c r="E3727" s="335">
        <f>+E3726*1.25</f>
        <v>21312.5</v>
      </c>
      <c r="F3727" s="22" t="s">
        <v>10</v>
      </c>
      <c r="G3727" s="770">
        <v>10000</v>
      </c>
      <c r="H3727" s="333" t="s">
        <v>1321</v>
      </c>
      <c r="I3727" s="20">
        <v>1.08</v>
      </c>
      <c r="J3727" s="22"/>
      <c r="K3727" s="23">
        <f>+E3727/G3727*I3727</f>
        <v>2.3017500000000002</v>
      </c>
      <c r="L3727" s="22" t="s">
        <v>5</v>
      </c>
      <c r="M3727" s="1146"/>
      <c r="N3727" s="1103"/>
      <c r="O3727"/>
      <c r="P3727" s="159"/>
      <c r="Q3727" s="147"/>
      <c r="R3727" s="149"/>
    </row>
    <row r="3728" spans="1:24" ht="30" customHeight="1">
      <c r="A3728" s="45" t="s">
        <v>508</v>
      </c>
      <c r="B3728" s="1179" t="s">
        <v>2029</v>
      </c>
      <c r="C3728" s="1180"/>
      <c r="D3728" s="1181"/>
      <c r="E3728" s="335">
        <f>+(5450+12500)/2</f>
        <v>8975</v>
      </c>
      <c r="F3728" s="22" t="s">
        <v>10</v>
      </c>
      <c r="G3728" s="770">
        <v>10000</v>
      </c>
      <c r="H3728" s="333" t="s">
        <v>1321</v>
      </c>
      <c r="I3728" s="20">
        <v>1.08</v>
      </c>
      <c r="J3728" s="22"/>
      <c r="K3728" s="23">
        <f>+E3728/G3728*I3728</f>
        <v>0.96930000000000005</v>
      </c>
      <c r="L3728" s="22" t="s">
        <v>5</v>
      </c>
      <c r="M3728" s="1146"/>
      <c r="N3728" s="1103"/>
      <c r="O3728"/>
      <c r="P3728" s="159"/>
      <c r="Q3728" s="147"/>
      <c r="R3728" s="149"/>
      <c r="T3728" s="38"/>
      <c r="U3728" s="38"/>
      <c r="V3728" s="38"/>
      <c r="W3728" s="38"/>
      <c r="X3728" s="38"/>
    </row>
    <row r="3729" spans="1:24" s="38" customFormat="1" ht="30" customHeight="1">
      <c r="A3729" s="652"/>
      <c r="B3729" s="1267"/>
      <c r="C3729" s="1267"/>
      <c r="D3729" s="1267"/>
      <c r="E3729" s="153"/>
      <c r="F3729" s="20"/>
      <c r="G3729" s="20"/>
      <c r="H3729" s="20"/>
      <c r="I3729" s="20"/>
      <c r="J3729" s="20" t="s">
        <v>346</v>
      </c>
      <c r="K3729" s="153">
        <f>SUM(K3726:K3728)</f>
        <v>5.1124500000000008</v>
      </c>
      <c r="L3729" s="20" t="s">
        <v>5</v>
      </c>
      <c r="M3729" s="1146"/>
      <c r="N3729" s="282"/>
      <c r="O3729"/>
      <c r="P3729" s="159"/>
      <c r="Q3729" s="147"/>
      <c r="R3729" s="149"/>
      <c r="T3729"/>
      <c r="U3729"/>
      <c r="V3729"/>
      <c r="W3729"/>
      <c r="X3729"/>
    </row>
    <row r="3730" spans="1:24" ht="30" customHeight="1">
      <c r="A3730" s="45"/>
      <c r="B3730" s="157"/>
      <c r="C3730" s="157"/>
      <c r="D3730" s="157"/>
      <c r="E3730" s="153"/>
      <c r="F3730" s="1174" t="s">
        <v>308</v>
      </c>
      <c r="G3730" s="1208" t="s">
        <v>309</v>
      </c>
      <c r="H3730" s="1208"/>
      <c r="I3730" s="1208"/>
      <c r="J3730" s="1208"/>
      <c r="K3730" s="123">
        <v>1.06</v>
      </c>
      <c r="L3730" s="10"/>
      <c r="M3730" s="1146"/>
      <c r="N3730" s="282"/>
      <c r="O3730"/>
      <c r="P3730" s="159"/>
      <c r="Q3730" s="147"/>
      <c r="R3730" s="149"/>
    </row>
    <row r="3731" spans="1:24" ht="30" customHeight="1">
      <c r="A3731" s="45"/>
      <c r="B3731" s="157"/>
      <c r="C3731" s="157"/>
      <c r="D3731" s="157"/>
      <c r="E3731" s="153"/>
      <c r="F3731" s="1175"/>
      <c r="G3731" s="1209" t="s">
        <v>310</v>
      </c>
      <c r="H3731" s="1209"/>
      <c r="I3731" s="1209"/>
      <c r="J3731" s="1209"/>
      <c r="K3731" s="123">
        <v>1.07</v>
      </c>
      <c r="L3731" s="10"/>
      <c r="M3731" s="1146"/>
      <c r="N3731" s="1103"/>
      <c r="O3731" s="34"/>
      <c r="P3731" s="159"/>
      <c r="Q3731" s="147"/>
      <c r="R3731" s="149"/>
    </row>
    <row r="3732" spans="1:24" ht="30" customHeight="1">
      <c r="A3732" s="45"/>
      <c r="B3732" s="20"/>
      <c r="C3732" s="18"/>
      <c r="D3732" s="18"/>
      <c r="E3732" s="18"/>
      <c r="F3732" s="18"/>
      <c r="G3732" s="18"/>
      <c r="H3732" s="18"/>
      <c r="I3732" s="18"/>
      <c r="J3732" s="20" t="s">
        <v>289</v>
      </c>
      <c r="K3732" s="23">
        <f>+K3729*K3730/K3731</f>
        <v>5.0646700934579449</v>
      </c>
      <c r="L3732" s="20" t="s">
        <v>5</v>
      </c>
      <c r="M3732" s="1146"/>
      <c r="N3732" s="1103"/>
      <c r="O3732" s="34"/>
      <c r="P3732" s="159"/>
      <c r="Q3732" s="147"/>
      <c r="R3732" s="149"/>
    </row>
    <row r="3733" spans="1:24" ht="30" customHeight="1" thickBot="1">
      <c r="A3733" s="45"/>
      <c r="B3733" s="20"/>
      <c r="C3733" s="18"/>
      <c r="D3733" s="18"/>
      <c r="E3733" s="18"/>
      <c r="F3733" s="18"/>
      <c r="G3733" s="160" t="s">
        <v>312</v>
      </c>
      <c r="H3733" s="18"/>
      <c r="I3733" s="18"/>
      <c r="J3733" s="139">
        <f>VLOOKUP(B3724,'Mil Cost Premiums for RUCs'!$A$4:$R$266,18,FALSE)</f>
        <v>1.0905505199999999</v>
      </c>
      <c r="K3733" s="23">
        <f>+K3732*J3733</f>
        <v>5.5232786040490094</v>
      </c>
      <c r="L3733" s="20" t="s">
        <v>5</v>
      </c>
      <c r="M3733" s="1146"/>
      <c r="N3733" s="1103"/>
      <c r="O3733"/>
      <c r="P3733" s="159"/>
      <c r="Q3733" s="147"/>
      <c r="R3733" s="149"/>
    </row>
    <row r="3734" spans="1:24" ht="30" customHeight="1" thickBot="1">
      <c r="A3734" s="1165"/>
      <c r="B3734" s="1166"/>
      <c r="C3734" s="1166"/>
      <c r="D3734" s="1166"/>
      <c r="E3734" s="1166"/>
      <c r="F3734" s="1166"/>
      <c r="G3734" s="1166"/>
      <c r="H3734" s="1166"/>
      <c r="I3734" s="1166"/>
      <c r="J3734" s="1166"/>
      <c r="K3734" s="1166"/>
      <c r="L3734" s="1167"/>
      <c r="M3734" s="1146"/>
      <c r="N3734" s="1103"/>
      <c r="O3734"/>
      <c r="P3734" s="283"/>
      <c r="Q3734" s="282"/>
      <c r="R3734" s="284"/>
    </row>
    <row r="3735" spans="1:24" ht="30" customHeight="1">
      <c r="A3735" s="27" t="s">
        <v>280</v>
      </c>
      <c r="B3735" s="82">
        <v>8315</v>
      </c>
      <c r="C3735" s="1197" t="s">
        <v>2030</v>
      </c>
      <c r="D3735" s="1198"/>
      <c r="E3735" s="74" t="s">
        <v>282</v>
      </c>
      <c r="F3735" s="75" t="s">
        <v>5</v>
      </c>
      <c r="G3735" s="58" t="s">
        <v>290</v>
      </c>
      <c r="H3735" s="76">
        <v>1087559</v>
      </c>
      <c r="I3735" s="74" t="s">
        <v>283</v>
      </c>
      <c r="J3735" s="1199" t="s">
        <v>2529</v>
      </c>
      <c r="K3735" s="1199"/>
      <c r="L3735" s="1200"/>
      <c r="M3735" s="1146"/>
      <c r="N3735" s="1103"/>
      <c r="O3735"/>
      <c r="P3735" s="283"/>
      <c r="Q3735" s="282"/>
      <c r="R3735" s="284"/>
    </row>
    <row r="3736" spans="1:24" ht="30" customHeight="1">
      <c r="A3736" s="37" t="s">
        <v>304</v>
      </c>
      <c r="B3736" s="1201" t="s">
        <v>330</v>
      </c>
      <c r="C3736" s="1202"/>
      <c r="D3736" s="1203"/>
      <c r="E3736" s="150" t="s">
        <v>295</v>
      </c>
      <c r="F3736" s="150" t="s">
        <v>331</v>
      </c>
      <c r="G3736" s="1204" t="s">
        <v>332</v>
      </c>
      <c r="H3736" s="1205"/>
      <c r="I3736" s="77" t="s">
        <v>305</v>
      </c>
      <c r="J3736" s="77"/>
      <c r="K3736" s="1303" t="s">
        <v>297</v>
      </c>
      <c r="L3736" s="1304"/>
      <c r="M3736" s="1146"/>
      <c r="N3736" s="1103"/>
      <c r="O3736"/>
      <c r="P3736" s="159"/>
      <c r="Q3736" s="147"/>
      <c r="R3736" s="149"/>
    </row>
    <row r="3737" spans="1:24" ht="30" customHeight="1">
      <c r="A3737" s="45" t="s">
        <v>2031</v>
      </c>
      <c r="B3737" s="207" t="s">
        <v>2032</v>
      </c>
      <c r="C3737" s="208"/>
      <c r="D3737" s="155"/>
      <c r="E3737" s="335">
        <f>+(1.63+2.22)/2</f>
        <v>1.925</v>
      </c>
      <c r="F3737" s="22" t="s">
        <v>209</v>
      </c>
      <c r="G3737" s="771">
        <v>7.48</v>
      </c>
      <c r="H3737" s="333" t="s">
        <v>2288</v>
      </c>
      <c r="I3737" s="326">
        <v>1.1000000000000001</v>
      </c>
      <c r="J3737" s="22"/>
      <c r="K3737" s="23">
        <f>+E3737/G3737*I3737</f>
        <v>0.28308823529411764</v>
      </c>
      <c r="L3737" s="22" t="s">
        <v>5</v>
      </c>
      <c r="M3737" s="1146"/>
      <c r="N3737" s="1103"/>
      <c r="O3737" s="38"/>
      <c r="P3737" s="159"/>
      <c r="Q3737" s="147"/>
      <c r="R3737" s="149"/>
    </row>
    <row r="3738" spans="1:24" ht="30" customHeight="1">
      <c r="A3738" s="45" t="s">
        <v>2031</v>
      </c>
      <c r="B3738" s="1179" t="s">
        <v>2033</v>
      </c>
      <c r="C3738" s="1180"/>
      <c r="D3738" s="1181"/>
      <c r="E3738" s="335">
        <f>+(9850+26900)/2</f>
        <v>18375</v>
      </c>
      <c r="F3738" s="22" t="s">
        <v>10</v>
      </c>
      <c r="G3738" s="770">
        <f>+H3735</f>
        <v>1087559</v>
      </c>
      <c r="H3738" s="333" t="s">
        <v>1321</v>
      </c>
      <c r="I3738" s="326">
        <v>1.1000000000000001</v>
      </c>
      <c r="J3738" s="22"/>
      <c r="K3738" s="23">
        <f>+E3738/G3738*I3738</f>
        <v>1.8585198596122145E-2</v>
      </c>
      <c r="L3738" s="22" t="s">
        <v>5</v>
      </c>
      <c r="M3738" s="1146"/>
      <c r="N3738" s="1103"/>
      <c r="O3738"/>
      <c r="P3738" s="159"/>
      <c r="Q3738" s="147"/>
      <c r="R3738" s="149"/>
    </row>
    <row r="3739" spans="1:24" ht="30" customHeight="1">
      <c r="A3739" s="652"/>
      <c r="B3739" s="1267"/>
      <c r="C3739" s="1267"/>
      <c r="D3739" s="1267"/>
      <c r="E3739" s="153"/>
      <c r="F3739" s="20"/>
      <c r="G3739" s="20"/>
      <c r="H3739" s="20"/>
      <c r="I3739" s="20"/>
      <c r="J3739" s="20" t="s">
        <v>346</v>
      </c>
      <c r="K3739" s="153">
        <f>SUM(K3737:K3738)</f>
        <v>0.30167343389023976</v>
      </c>
      <c r="L3739" s="20" t="s">
        <v>5</v>
      </c>
      <c r="M3739" s="1146"/>
      <c r="N3739" s="1103"/>
      <c r="O3739" s="34"/>
      <c r="P3739" s="159"/>
      <c r="Q3739" s="147"/>
      <c r="R3739" s="149"/>
      <c r="T3739" s="38"/>
      <c r="U3739" s="38"/>
      <c r="V3739" s="38"/>
      <c r="W3739" s="38"/>
      <c r="X3739" s="38"/>
    </row>
    <row r="3740" spans="1:24" s="38" customFormat="1" ht="30" customHeight="1">
      <c r="A3740" s="45"/>
      <c r="B3740" s="157"/>
      <c r="C3740" s="157"/>
      <c r="D3740" s="157"/>
      <c r="E3740" s="153"/>
      <c r="F3740" s="1174" t="s">
        <v>308</v>
      </c>
      <c r="G3740" s="1208" t="s">
        <v>309</v>
      </c>
      <c r="H3740" s="1208"/>
      <c r="I3740" s="1208"/>
      <c r="J3740" s="1208"/>
      <c r="K3740" s="123">
        <v>1.06</v>
      </c>
      <c r="L3740" s="10"/>
      <c r="M3740" s="1146"/>
      <c r="N3740" s="282"/>
      <c r="O3740" s="34"/>
      <c r="P3740" s="159"/>
      <c r="Q3740" s="147"/>
      <c r="R3740" s="149"/>
      <c r="T3740"/>
      <c r="U3740"/>
      <c r="V3740"/>
      <c r="W3740"/>
      <c r="X3740"/>
    </row>
    <row r="3741" spans="1:24" ht="30" customHeight="1">
      <c r="A3741" s="45"/>
      <c r="B3741" s="157"/>
      <c r="C3741" s="157"/>
      <c r="D3741" s="157"/>
      <c r="E3741" s="153"/>
      <c r="F3741" s="1175"/>
      <c r="G3741" s="1209" t="s">
        <v>310</v>
      </c>
      <c r="H3741" s="1209"/>
      <c r="I3741" s="1209"/>
      <c r="J3741" s="1209"/>
      <c r="K3741" s="123">
        <v>1.07</v>
      </c>
      <c r="L3741" s="10"/>
      <c r="M3741" s="1146"/>
      <c r="N3741" s="282"/>
      <c r="O3741"/>
      <c r="P3741" s="159"/>
      <c r="Q3741" s="147"/>
      <c r="R3741" s="149"/>
    </row>
    <row r="3742" spans="1:24" ht="30" customHeight="1">
      <c r="A3742" s="45"/>
      <c r="B3742" s="20"/>
      <c r="C3742" s="18"/>
      <c r="D3742" s="18"/>
      <c r="E3742" s="18"/>
      <c r="F3742" s="18"/>
      <c r="G3742" s="18"/>
      <c r="H3742" s="18"/>
      <c r="I3742" s="18"/>
      <c r="J3742" s="20" t="s">
        <v>289</v>
      </c>
      <c r="K3742" s="23">
        <f>+K3739*K3740/K3741</f>
        <v>0.29885405600341508</v>
      </c>
      <c r="L3742" s="20" t="s">
        <v>5</v>
      </c>
      <c r="M3742" s="1146"/>
      <c r="N3742" s="1103"/>
      <c r="O3742"/>
      <c r="P3742" s="283"/>
      <c r="Q3742" s="282"/>
      <c r="R3742" s="284"/>
    </row>
    <row r="3743" spans="1:24" ht="30" customHeight="1" thickBot="1">
      <c r="A3743" s="45"/>
      <c r="B3743" s="20"/>
      <c r="C3743" s="18"/>
      <c r="D3743" s="18"/>
      <c r="E3743" s="18"/>
      <c r="F3743" s="18"/>
      <c r="G3743" s="160" t="s">
        <v>312</v>
      </c>
      <c r="H3743" s="18"/>
      <c r="I3743" s="18"/>
      <c r="J3743" s="139">
        <f>VLOOKUP(B3735,'Mil Cost Premiums for RUCs'!$A$4:$R$266,18,FALSE)</f>
        <v>1.0905505199999999</v>
      </c>
      <c r="K3743" s="23">
        <f>+K3742*J3743</f>
        <v>0.32591544617863338</v>
      </c>
      <c r="L3743" s="20" t="s">
        <v>5</v>
      </c>
      <c r="M3743" s="1146"/>
      <c r="N3743" s="1103"/>
      <c r="O3743"/>
      <c r="P3743" s="283"/>
      <c r="Q3743" s="282"/>
      <c r="R3743" s="284"/>
    </row>
    <row r="3744" spans="1:24" ht="30" customHeight="1" thickBot="1">
      <c r="A3744" s="1165"/>
      <c r="B3744" s="1166"/>
      <c r="C3744" s="1166"/>
      <c r="D3744" s="1166"/>
      <c r="E3744" s="1166"/>
      <c r="F3744" s="1166"/>
      <c r="G3744" s="1166"/>
      <c r="H3744" s="1166"/>
      <c r="I3744" s="1166"/>
      <c r="J3744" s="1166"/>
      <c r="K3744" s="1166"/>
      <c r="L3744" s="1167"/>
      <c r="M3744" s="1146"/>
      <c r="N3744" s="1103"/>
      <c r="O3744"/>
      <c r="P3744" s="159"/>
      <c r="Q3744" s="147"/>
      <c r="R3744" s="149"/>
    </row>
    <row r="3745" spans="1:24" ht="30" customHeight="1">
      <c r="A3745" s="81" t="s">
        <v>280</v>
      </c>
      <c r="B3745" s="82">
        <v>8316</v>
      </c>
      <c r="C3745" s="1228" t="s">
        <v>2034</v>
      </c>
      <c r="D3745" s="1229"/>
      <c r="E3745" s="74" t="s">
        <v>282</v>
      </c>
      <c r="F3745" s="75" t="s">
        <v>10</v>
      </c>
      <c r="G3745" s="91" t="s">
        <v>281</v>
      </c>
      <c r="H3745" s="104">
        <v>1</v>
      </c>
      <c r="I3745" s="74" t="s">
        <v>283</v>
      </c>
      <c r="J3745" s="1199" t="s">
        <v>2569</v>
      </c>
      <c r="K3745" s="1199"/>
      <c r="L3745" s="1200"/>
      <c r="M3745" s="1146"/>
      <c r="N3745" s="1103"/>
      <c r="O3745" s="38"/>
      <c r="P3745" s="159"/>
      <c r="Q3745" s="147"/>
      <c r="R3745" s="149"/>
    </row>
    <row r="3746" spans="1:24" ht="30" customHeight="1">
      <c r="A3746" s="77" t="s">
        <v>293</v>
      </c>
      <c r="B3746" s="1232" t="s">
        <v>284</v>
      </c>
      <c r="C3746" s="1232"/>
      <c r="D3746" s="1232"/>
      <c r="E3746" s="96" t="s">
        <v>295</v>
      </c>
      <c r="F3746" s="362" t="s">
        <v>331</v>
      </c>
      <c r="G3746" s="1365" t="s">
        <v>332</v>
      </c>
      <c r="H3746" s="1366"/>
      <c r="I3746" s="1233" t="s">
        <v>426</v>
      </c>
      <c r="J3746" s="1234"/>
      <c r="K3746" s="1303" t="s">
        <v>297</v>
      </c>
      <c r="L3746" s="1304"/>
      <c r="M3746" s="1146"/>
      <c r="N3746" s="1103"/>
      <c r="O3746"/>
      <c r="P3746" s="159"/>
      <c r="Q3746" s="147"/>
      <c r="R3746" s="149"/>
    </row>
    <row r="3747" spans="1:24" ht="30" customHeight="1">
      <c r="A3747" s="20">
        <v>83150</v>
      </c>
      <c r="B3747" s="1179" t="s">
        <v>2035</v>
      </c>
      <c r="C3747" s="1180"/>
      <c r="D3747" s="1181"/>
      <c r="E3747" s="153">
        <v>340290</v>
      </c>
      <c r="F3747" s="316" t="s">
        <v>10</v>
      </c>
      <c r="G3747" s="317"/>
      <c r="H3747" s="267"/>
      <c r="I3747" s="1546">
        <f>+'2019 MILCON Inflation Table'!$F$18</f>
        <v>0.94232233454704462</v>
      </c>
      <c r="J3747" s="1547"/>
      <c r="K3747" s="106">
        <f>+E3747*I3747</f>
        <v>320662.86722301383</v>
      </c>
      <c r="L3747" s="97" t="s">
        <v>10</v>
      </c>
      <c r="M3747" s="1146"/>
      <c r="N3747" s="1103"/>
      <c r="O3747" s="34"/>
      <c r="P3747" s="159"/>
      <c r="Q3747" s="147"/>
      <c r="R3747" s="149"/>
      <c r="T3747" s="38"/>
      <c r="U3747" s="38"/>
      <c r="V3747" s="38"/>
      <c r="W3747" s="38"/>
      <c r="X3747" s="38"/>
    </row>
    <row r="3748" spans="1:24" s="38" customFormat="1" ht="30" customHeight="1">
      <c r="A3748" s="20">
        <v>83150</v>
      </c>
      <c r="B3748" s="1179" t="s">
        <v>2036</v>
      </c>
      <c r="C3748" s="1180"/>
      <c r="D3748" s="1181"/>
      <c r="E3748" s="153">
        <v>296480</v>
      </c>
      <c r="F3748" s="316" t="s">
        <v>10</v>
      </c>
      <c r="G3748" s="317"/>
      <c r="H3748" s="267"/>
      <c r="I3748" s="1546">
        <f>+'2019 MILCON Inflation Table'!$F$18</f>
        <v>0.94232233454704462</v>
      </c>
      <c r="J3748" s="1547"/>
      <c r="K3748" s="106">
        <f>+E3748*I3748</f>
        <v>279379.72574650781</v>
      </c>
      <c r="L3748" s="97" t="s">
        <v>10</v>
      </c>
      <c r="M3748" s="1146"/>
      <c r="N3748" s="282"/>
      <c r="O3748" s="34"/>
      <c r="P3748" s="159"/>
      <c r="Q3748" s="147"/>
      <c r="R3748" s="149"/>
      <c r="T3748"/>
      <c r="U3748"/>
      <c r="V3748"/>
      <c r="W3748"/>
      <c r="X3748"/>
    </row>
    <row r="3749" spans="1:24" ht="30" customHeight="1">
      <c r="A3749" s="20">
        <v>83150</v>
      </c>
      <c r="B3749" s="1179" t="s">
        <v>2037</v>
      </c>
      <c r="C3749" s="1180"/>
      <c r="D3749" s="1181"/>
      <c r="E3749" s="153">
        <v>380540</v>
      </c>
      <c r="F3749" s="316" t="s">
        <v>10</v>
      </c>
      <c r="G3749" s="317"/>
      <c r="H3749" s="267"/>
      <c r="I3749" s="1546">
        <f>+'2019 MILCON Inflation Table'!$F$18</f>
        <v>0.94232233454704462</v>
      </c>
      <c r="J3749" s="1547"/>
      <c r="K3749" s="106">
        <f>+E3749*I3749</f>
        <v>358591.34118853236</v>
      </c>
      <c r="L3749" s="97" t="s">
        <v>10</v>
      </c>
      <c r="M3749" s="1146"/>
      <c r="N3749" s="282"/>
      <c r="O3749"/>
      <c r="P3749" s="159"/>
      <c r="Q3749" s="147"/>
      <c r="R3749" s="149"/>
    </row>
    <row r="3750" spans="1:24" ht="30" customHeight="1">
      <c r="A3750" s="20"/>
      <c r="B3750" s="207"/>
      <c r="C3750" s="208"/>
      <c r="D3750" s="155"/>
      <c r="E3750" s="287"/>
      <c r="F3750" s="527"/>
      <c r="G3750" s="272"/>
      <c r="H3750" s="267"/>
      <c r="I3750" s="530"/>
      <c r="J3750" s="339" t="s">
        <v>311</v>
      </c>
      <c r="K3750" s="106">
        <f>AVERAGE(K3747:K3749)</f>
        <v>319544.64471935132</v>
      </c>
      <c r="L3750" s="97" t="s">
        <v>10</v>
      </c>
      <c r="M3750" s="1146"/>
      <c r="N3750" s="1103"/>
      <c r="O3750"/>
      <c r="P3750" s="283"/>
      <c r="Q3750" s="282"/>
      <c r="R3750" s="284"/>
    </row>
    <row r="3751" spans="1:24" ht="30" customHeight="1" thickBot="1">
      <c r="A3751" s="20"/>
      <c r="B3751" s="1179"/>
      <c r="C3751" s="1180"/>
      <c r="D3751" s="1181"/>
      <c r="E3751" s="181"/>
      <c r="F3751" s="338"/>
      <c r="G3751" s="181"/>
      <c r="H3751" s="339"/>
      <c r="I3751" s="18"/>
      <c r="J3751" s="79" t="s">
        <v>289</v>
      </c>
      <c r="K3751" s="107">
        <f>+K3750</f>
        <v>319544.64471935132</v>
      </c>
      <c r="L3751" s="97" t="s">
        <v>10</v>
      </c>
      <c r="M3751" s="1146"/>
      <c r="N3751" s="1103"/>
      <c r="O3751"/>
      <c r="P3751" s="283"/>
      <c r="Q3751" s="282"/>
      <c r="R3751" s="284"/>
    </row>
    <row r="3752" spans="1:24" ht="30" customHeight="1" thickBot="1">
      <c r="A3752" s="1165"/>
      <c r="B3752" s="1166"/>
      <c r="C3752" s="1166"/>
      <c r="D3752" s="1166"/>
      <c r="E3752" s="1166"/>
      <c r="F3752" s="1166"/>
      <c r="G3752" s="1166"/>
      <c r="H3752" s="1166"/>
      <c r="I3752" s="1166"/>
      <c r="J3752" s="1166"/>
      <c r="K3752" s="1166"/>
      <c r="L3752" s="1167"/>
      <c r="M3752" s="1146"/>
      <c r="N3752" s="1103"/>
      <c r="O3752"/>
      <c r="P3752" s="159"/>
      <c r="Q3752" s="147"/>
      <c r="R3752" s="149"/>
    </row>
    <row r="3753" spans="1:24" ht="30" customHeight="1">
      <c r="A3753" s="162" t="s">
        <v>280</v>
      </c>
      <c r="B3753" s="163">
        <v>8321</v>
      </c>
      <c r="C3753" s="1290" t="s">
        <v>2038</v>
      </c>
      <c r="D3753" s="1291"/>
      <c r="E3753" s="216" t="s">
        <v>282</v>
      </c>
      <c r="F3753" s="217" t="s">
        <v>6</v>
      </c>
      <c r="G3753" s="292" t="s">
        <v>2039</v>
      </c>
      <c r="H3753" s="245">
        <v>12529</v>
      </c>
      <c r="I3753" s="216" t="s">
        <v>283</v>
      </c>
      <c r="J3753" s="1199" t="s">
        <v>2529</v>
      </c>
      <c r="K3753" s="1199"/>
      <c r="L3753" s="1200"/>
      <c r="M3753" s="1146"/>
      <c r="N3753" s="1103"/>
      <c r="O3753" s="38"/>
      <c r="P3753" s="159"/>
      <c r="Q3753" s="147"/>
      <c r="R3753" s="149"/>
    </row>
    <row r="3754" spans="1:24" ht="30" customHeight="1">
      <c r="A3754" s="165" t="s">
        <v>304</v>
      </c>
      <c r="B3754" s="1324" t="s">
        <v>330</v>
      </c>
      <c r="C3754" s="1325"/>
      <c r="D3754" s="1326"/>
      <c r="E3754" s="219" t="s">
        <v>295</v>
      </c>
      <c r="F3754" s="219" t="s">
        <v>331</v>
      </c>
      <c r="G3754" s="1327" t="s">
        <v>332</v>
      </c>
      <c r="H3754" s="1328"/>
      <c r="I3754" s="167" t="s">
        <v>305</v>
      </c>
      <c r="J3754" s="167"/>
      <c r="K3754" s="1303" t="s">
        <v>297</v>
      </c>
      <c r="L3754" s="1304"/>
      <c r="M3754" s="1146"/>
      <c r="N3754" s="1103"/>
      <c r="O3754"/>
      <c r="P3754" s="159"/>
      <c r="Q3754" s="147"/>
      <c r="R3754" s="149"/>
    </row>
    <row r="3755" spans="1:24" ht="30" customHeight="1">
      <c r="A3755" s="10" t="s">
        <v>342</v>
      </c>
      <c r="B3755" s="1182" t="s">
        <v>2795</v>
      </c>
      <c r="C3755" s="1183"/>
      <c r="D3755" s="1184"/>
      <c r="E3755" s="299">
        <v>19.55</v>
      </c>
      <c r="F3755" s="5" t="s">
        <v>6</v>
      </c>
      <c r="G3755" s="772"/>
      <c r="H3755" s="297"/>
      <c r="I3755" s="10">
        <v>1.05</v>
      </c>
      <c r="J3755" s="5"/>
      <c r="K3755" s="14">
        <f>+E3755*I3755</f>
        <v>20.5275</v>
      </c>
      <c r="L3755" s="5" t="s">
        <v>6</v>
      </c>
      <c r="M3755" s="1146"/>
      <c r="N3755" s="1103"/>
      <c r="O3755"/>
      <c r="P3755" s="159"/>
      <c r="Q3755" s="147"/>
      <c r="R3755" s="149"/>
      <c r="T3755" s="38"/>
      <c r="U3755" s="38"/>
      <c r="V3755" s="38"/>
      <c r="W3755" s="38"/>
      <c r="X3755" s="38"/>
    </row>
    <row r="3756" spans="1:24" s="38" customFormat="1" ht="30" customHeight="1">
      <c r="A3756" s="10" t="s">
        <v>342</v>
      </c>
      <c r="B3756" s="1182" t="s">
        <v>2800</v>
      </c>
      <c r="C3756" s="1183"/>
      <c r="D3756" s="1184"/>
      <c r="E3756" s="299">
        <v>24.52</v>
      </c>
      <c r="F3756" s="5" t="s">
        <v>6</v>
      </c>
      <c r="G3756" s="772"/>
      <c r="H3756" s="297"/>
      <c r="I3756" s="10">
        <v>1.05</v>
      </c>
      <c r="J3756" s="5"/>
      <c r="K3756" s="14">
        <f>+E3756*I3756</f>
        <v>25.746000000000002</v>
      </c>
      <c r="L3756" s="5" t="s">
        <v>6</v>
      </c>
      <c r="M3756" s="1146"/>
      <c r="N3756" s="282"/>
      <c r="O3756" s="34"/>
      <c r="P3756" s="159"/>
      <c r="Q3756" s="147"/>
      <c r="R3756" s="149"/>
      <c r="T3756"/>
      <c r="U3756"/>
      <c r="V3756"/>
      <c r="W3756"/>
      <c r="X3756"/>
    </row>
    <row r="3757" spans="1:24" ht="30" customHeight="1">
      <c r="A3757" s="10"/>
      <c r="B3757" s="119"/>
      <c r="C3757" s="120"/>
      <c r="D3757" s="121"/>
      <c r="E3757" s="299"/>
      <c r="F3757" s="5"/>
      <c r="G3757" s="1288" t="s">
        <v>2040</v>
      </c>
      <c r="H3757" s="1287"/>
      <c r="I3757" s="10"/>
      <c r="J3757" s="5"/>
      <c r="K3757" s="14">
        <f>AVERAGE(K3755:K3756)</f>
        <v>23.136749999999999</v>
      </c>
      <c r="L3757" s="5" t="s">
        <v>6</v>
      </c>
      <c r="M3757" s="1146"/>
      <c r="N3757" s="282"/>
      <c r="O3757" s="34"/>
      <c r="P3757" s="159"/>
      <c r="Q3757" s="147"/>
      <c r="R3757" s="149"/>
    </row>
    <row r="3758" spans="1:24" ht="30" customHeight="1">
      <c r="A3758" s="10" t="s">
        <v>342</v>
      </c>
      <c r="B3758" s="1182" t="s">
        <v>2796</v>
      </c>
      <c r="C3758" s="1183"/>
      <c r="D3758" s="1184"/>
      <c r="E3758" s="299">
        <v>755</v>
      </c>
      <c r="F3758" s="5" t="s">
        <v>10</v>
      </c>
      <c r="G3758" s="773">
        <f>1/60</f>
        <v>1.6666666666666666E-2</v>
      </c>
      <c r="H3758" s="297" t="s">
        <v>2798</v>
      </c>
      <c r="I3758" s="10">
        <v>1.05</v>
      </c>
      <c r="J3758" s="5"/>
      <c r="K3758" s="14">
        <f>+E3758*G3758*I3758</f>
        <v>13.2125</v>
      </c>
      <c r="L3758" s="5" t="s">
        <v>6</v>
      </c>
      <c r="M3758" s="1146"/>
      <c r="N3758" s="1103"/>
      <c r="O3758"/>
      <c r="P3758" s="159"/>
      <c r="Q3758" s="147"/>
      <c r="R3758" s="149"/>
    </row>
    <row r="3759" spans="1:24" ht="30" customHeight="1">
      <c r="A3759" s="10" t="s">
        <v>342</v>
      </c>
      <c r="B3759" s="1182" t="s">
        <v>2797</v>
      </c>
      <c r="C3759" s="1183"/>
      <c r="D3759" s="1184"/>
      <c r="E3759" s="115">
        <v>2825</v>
      </c>
      <c r="F3759" s="5" t="s">
        <v>10</v>
      </c>
      <c r="G3759" s="774">
        <f>1/400</f>
        <v>2.5000000000000001E-3</v>
      </c>
      <c r="H3759" s="297" t="s">
        <v>2799</v>
      </c>
      <c r="I3759" s="10">
        <v>1.05</v>
      </c>
      <c r="J3759" s="5"/>
      <c r="K3759" s="14">
        <f>+E3759*G3759*I3759</f>
        <v>7.4156250000000004</v>
      </c>
      <c r="L3759" s="5" t="s">
        <v>6</v>
      </c>
      <c r="M3759" s="1146"/>
      <c r="N3759" s="1103"/>
      <c r="O3759"/>
      <c r="P3759" s="283"/>
      <c r="Q3759" s="282"/>
      <c r="R3759" s="284"/>
    </row>
    <row r="3760" spans="1:24" ht="30" customHeight="1">
      <c r="A3760" s="658"/>
      <c r="B3760" s="1329"/>
      <c r="C3760" s="1329"/>
      <c r="D3760" s="1329"/>
      <c r="E3760" s="115"/>
      <c r="F3760" s="10"/>
      <c r="G3760" s="10"/>
      <c r="H3760" s="10"/>
      <c r="I3760" s="10"/>
      <c r="J3760" s="10" t="s">
        <v>346</v>
      </c>
      <c r="K3760" s="115">
        <f>SUM(K3757:K3759)</f>
        <v>43.764874999999996</v>
      </c>
      <c r="L3760" s="10" t="s">
        <v>6</v>
      </c>
      <c r="M3760" s="1146"/>
      <c r="N3760" s="1103"/>
      <c r="O3760"/>
      <c r="P3760" s="283"/>
      <c r="Q3760" s="282"/>
      <c r="R3760" s="284"/>
    </row>
    <row r="3761" spans="1:24" ht="30" customHeight="1">
      <c r="A3761" s="20"/>
      <c r="B3761" s="157"/>
      <c r="C3761" s="157"/>
      <c r="D3761" s="157"/>
      <c r="E3761" s="153"/>
      <c r="F3761" s="1174" t="s">
        <v>308</v>
      </c>
      <c r="G3761" s="1208" t="s">
        <v>309</v>
      </c>
      <c r="H3761" s="1208"/>
      <c r="I3761" s="1208"/>
      <c r="J3761" s="1208"/>
      <c r="K3761" s="123">
        <v>1.06</v>
      </c>
      <c r="L3761" s="10"/>
      <c r="M3761" s="1146"/>
      <c r="N3761" s="1103"/>
      <c r="O3761"/>
      <c r="P3761" s="159"/>
      <c r="Q3761" s="147"/>
      <c r="R3761" s="149"/>
    </row>
    <row r="3762" spans="1:24" ht="30" customHeight="1">
      <c r="A3762" s="20"/>
      <c r="B3762" s="157"/>
      <c r="C3762" s="157"/>
      <c r="D3762" s="157"/>
      <c r="E3762" s="153"/>
      <c r="F3762" s="1175"/>
      <c r="G3762" s="1209" t="s">
        <v>310</v>
      </c>
      <c r="H3762" s="1209"/>
      <c r="I3762" s="1209"/>
      <c r="J3762" s="1209"/>
      <c r="K3762" s="123">
        <v>1.07</v>
      </c>
      <c r="L3762" s="10"/>
      <c r="M3762" s="1146"/>
      <c r="N3762" s="1103"/>
      <c r="O3762" s="38"/>
      <c r="P3762" s="159"/>
      <c r="Q3762" s="147"/>
      <c r="R3762" s="149"/>
    </row>
    <row r="3763" spans="1:24" ht="30" customHeight="1">
      <c r="A3763" s="10"/>
      <c r="B3763" s="10"/>
      <c r="C3763" s="13"/>
      <c r="D3763" s="13"/>
      <c r="E3763" s="13"/>
      <c r="F3763" s="13"/>
      <c r="G3763" s="13"/>
      <c r="H3763" s="13"/>
      <c r="I3763" s="13"/>
      <c r="J3763" s="10" t="s">
        <v>289</v>
      </c>
      <c r="K3763" s="14">
        <f>+K3760*K3761/K3762</f>
        <v>43.355857476635506</v>
      </c>
      <c r="L3763" s="10" t="s">
        <v>6</v>
      </c>
      <c r="M3763" s="1146"/>
      <c r="N3763" s="1103"/>
      <c r="O3763"/>
      <c r="P3763" s="159"/>
      <c r="Q3763" s="147"/>
      <c r="R3763" s="149"/>
    </row>
    <row r="3764" spans="1:24" ht="30" customHeight="1">
      <c r="A3764" s="223"/>
      <c r="B3764" s="224"/>
      <c r="C3764" s="225"/>
      <c r="D3764" s="225"/>
      <c r="E3764" s="225"/>
      <c r="F3764" s="225"/>
      <c r="G3764" s="160" t="s">
        <v>312</v>
      </c>
      <c r="H3764" s="225"/>
      <c r="I3764" s="226"/>
      <c r="J3764" s="139">
        <f>VLOOKUP(B3753,'Mil Cost Premiums for RUCs'!$A$4:$R$266,18,FALSE)</f>
        <v>1.0905505199999999</v>
      </c>
      <c r="K3764" s="228">
        <f>+K3763*J3764</f>
        <v>47.281752916190733</v>
      </c>
      <c r="L3764" s="5" t="s">
        <v>6</v>
      </c>
      <c r="M3764" s="1146"/>
      <c r="N3764" s="1103"/>
      <c r="O3764"/>
      <c r="P3764" s="159"/>
      <c r="Q3764" s="147"/>
      <c r="R3764" s="149"/>
      <c r="T3764" s="38"/>
      <c r="U3764" s="38"/>
      <c r="V3764" s="38"/>
      <c r="W3764" s="38"/>
      <c r="X3764" s="38"/>
    </row>
    <row r="3765" spans="1:24" s="38" customFormat="1" ht="60" customHeight="1">
      <c r="A3765" s="1337" t="s">
        <v>313</v>
      </c>
      <c r="B3765" s="1338"/>
      <c r="C3765" s="1338"/>
      <c r="D3765" s="1338"/>
      <c r="E3765" s="1338"/>
      <c r="F3765" s="1338"/>
      <c r="G3765" s="1338"/>
      <c r="H3765" s="1338"/>
      <c r="I3765" s="1338"/>
      <c r="J3765" s="1338"/>
      <c r="K3765" s="1338"/>
      <c r="L3765" s="1339"/>
      <c r="M3765" s="1146"/>
      <c r="N3765" s="282"/>
      <c r="O3765" s="34"/>
      <c r="P3765" s="159"/>
      <c r="Q3765" s="147"/>
      <c r="R3765" s="149"/>
      <c r="T3765"/>
      <c r="U3765"/>
      <c r="V3765"/>
      <c r="W3765"/>
      <c r="X3765"/>
    </row>
    <row r="3766" spans="1:24" ht="30" customHeight="1">
      <c r="A3766" s="1406" t="s">
        <v>314</v>
      </c>
      <c r="B3766" s="1407"/>
      <c r="C3766" s="1408"/>
      <c r="D3766" s="1270" t="s">
        <v>2041</v>
      </c>
      <c r="E3766" s="1371"/>
      <c r="F3766" s="1371"/>
      <c r="G3766" s="1371"/>
      <c r="H3766" s="1371"/>
      <c r="I3766" s="1371"/>
      <c r="J3766" s="1371"/>
      <c r="K3766" s="1371"/>
      <c r="L3766" s="1372"/>
      <c r="M3766" s="1146"/>
      <c r="N3766" s="282"/>
      <c r="O3766" s="34"/>
      <c r="P3766" s="159"/>
      <c r="Q3766" s="147"/>
      <c r="R3766" s="149"/>
    </row>
    <row r="3767" spans="1:24" ht="30" customHeight="1">
      <c r="A3767" s="1406" t="s">
        <v>316</v>
      </c>
      <c r="B3767" s="1407"/>
      <c r="C3767" s="1408"/>
      <c r="D3767" s="1270" t="s">
        <v>2042</v>
      </c>
      <c r="E3767" s="1371"/>
      <c r="F3767" s="1371"/>
      <c r="G3767" s="1371"/>
      <c r="H3767" s="1371"/>
      <c r="I3767" s="1371"/>
      <c r="J3767" s="1371"/>
      <c r="K3767" s="1371"/>
      <c r="L3767" s="1372"/>
      <c r="M3767" s="1146"/>
      <c r="N3767" s="1103"/>
      <c r="O3767"/>
      <c r="P3767" s="159"/>
      <c r="Q3767" s="147"/>
      <c r="R3767" s="149"/>
    </row>
    <row r="3768" spans="1:24" ht="30" customHeight="1">
      <c r="A3768" s="1406" t="s">
        <v>317</v>
      </c>
      <c r="B3768" s="1407"/>
      <c r="C3768" s="1408"/>
      <c r="D3768" s="1270" t="s">
        <v>2043</v>
      </c>
      <c r="E3768" s="1371"/>
      <c r="F3768" s="1371"/>
      <c r="G3768" s="1371"/>
      <c r="H3768" s="1371"/>
      <c r="I3768" s="1371"/>
      <c r="J3768" s="1371"/>
      <c r="K3768" s="1371"/>
      <c r="L3768" s="1372"/>
      <c r="M3768" s="1146"/>
      <c r="N3768" s="1103"/>
      <c r="O3768"/>
      <c r="P3768" s="283"/>
      <c r="Q3768" s="282"/>
      <c r="R3768" s="284"/>
    </row>
    <row r="3769" spans="1:24" ht="30" customHeight="1">
      <c r="A3769" s="1406" t="s">
        <v>318</v>
      </c>
      <c r="B3769" s="1407"/>
      <c r="C3769" s="1408"/>
      <c r="D3769" s="1270" t="s">
        <v>2044</v>
      </c>
      <c r="E3769" s="1371"/>
      <c r="F3769" s="1371"/>
      <c r="G3769" s="1371"/>
      <c r="H3769" s="1371"/>
      <c r="I3769" s="1371"/>
      <c r="J3769" s="1371"/>
      <c r="K3769" s="1371"/>
      <c r="L3769" s="1372"/>
      <c r="M3769" s="1146"/>
      <c r="N3769" s="1103"/>
      <c r="O3769"/>
      <c r="P3769" s="283"/>
      <c r="Q3769" s="282"/>
      <c r="R3769" s="284"/>
    </row>
    <row r="3770" spans="1:24" ht="30" customHeight="1">
      <c r="A3770" s="1406" t="s">
        <v>320</v>
      </c>
      <c r="B3770" s="1407"/>
      <c r="C3770" s="1408"/>
      <c r="D3770" s="1270" t="s">
        <v>1971</v>
      </c>
      <c r="E3770" s="1371"/>
      <c r="F3770" s="1371"/>
      <c r="G3770" s="1371"/>
      <c r="H3770" s="1371"/>
      <c r="I3770" s="1371"/>
      <c r="J3770" s="1371"/>
      <c r="K3770" s="1371"/>
      <c r="L3770" s="1372"/>
      <c r="M3770" s="1146"/>
      <c r="N3770" s="1103"/>
      <c r="O3770"/>
      <c r="P3770" s="159"/>
      <c r="Q3770" s="147"/>
      <c r="R3770" s="149"/>
    </row>
    <row r="3771" spans="1:24" ht="30" customHeight="1">
      <c r="A3771" s="1406" t="s">
        <v>322</v>
      </c>
      <c r="B3771" s="1407"/>
      <c r="C3771" s="1408"/>
      <c r="D3771" s="1270" t="s">
        <v>1891</v>
      </c>
      <c r="E3771" s="1371"/>
      <c r="F3771" s="1371"/>
      <c r="G3771" s="1371"/>
      <c r="H3771" s="1371"/>
      <c r="I3771" s="1371"/>
      <c r="J3771" s="1371"/>
      <c r="K3771" s="1371"/>
      <c r="L3771" s="1372"/>
      <c r="M3771" s="1146"/>
      <c r="N3771" s="1103"/>
      <c r="O3771" s="38"/>
      <c r="P3771" s="159"/>
      <c r="Q3771" s="147"/>
      <c r="R3771" s="149"/>
    </row>
    <row r="3772" spans="1:24" ht="30" customHeight="1">
      <c r="A3772" s="1406" t="s">
        <v>324</v>
      </c>
      <c r="B3772" s="1407"/>
      <c r="C3772" s="1408"/>
      <c r="D3772" s="1270" t="s">
        <v>2045</v>
      </c>
      <c r="E3772" s="1371"/>
      <c r="F3772" s="1371"/>
      <c r="G3772" s="1371"/>
      <c r="H3772" s="1371"/>
      <c r="I3772" s="1371"/>
      <c r="J3772" s="1371"/>
      <c r="K3772" s="1371"/>
      <c r="L3772" s="1372"/>
      <c r="M3772" s="1146"/>
      <c r="N3772" s="1103"/>
      <c r="O3772"/>
      <c r="P3772" s="159"/>
      <c r="Q3772" s="147"/>
      <c r="R3772" s="149"/>
    </row>
    <row r="3773" spans="1:24" ht="75" customHeight="1">
      <c r="A3773" s="1406" t="s">
        <v>325</v>
      </c>
      <c r="B3773" s="1407"/>
      <c r="C3773" s="1408"/>
      <c r="D3773" s="1270" t="s">
        <v>391</v>
      </c>
      <c r="E3773" s="1371"/>
      <c r="F3773" s="1371"/>
      <c r="G3773" s="1371"/>
      <c r="H3773" s="1371"/>
      <c r="I3773" s="1371"/>
      <c r="J3773" s="1371"/>
      <c r="K3773" s="1371"/>
      <c r="L3773" s="1372"/>
      <c r="M3773" s="1146"/>
      <c r="N3773" s="1103"/>
      <c r="O3773"/>
      <c r="P3773" s="159"/>
      <c r="Q3773" s="147"/>
      <c r="R3773" s="149"/>
      <c r="T3773" s="38"/>
      <c r="U3773" s="38"/>
      <c r="V3773" s="38"/>
      <c r="W3773" s="38"/>
      <c r="X3773" s="38"/>
    </row>
    <row r="3774" spans="1:24" s="38" customFormat="1" ht="45" customHeight="1" thickBot="1">
      <c r="A3774" s="1498" t="s">
        <v>327</v>
      </c>
      <c r="B3774" s="1499"/>
      <c r="C3774" s="1500"/>
      <c r="D3774" s="1270" t="s">
        <v>2801</v>
      </c>
      <c r="E3774" s="1371"/>
      <c r="F3774" s="1371"/>
      <c r="G3774" s="1371"/>
      <c r="H3774" s="1371"/>
      <c r="I3774" s="1371"/>
      <c r="J3774" s="1371"/>
      <c r="K3774" s="1371"/>
      <c r="L3774" s="1372"/>
      <c r="M3774" s="1146"/>
      <c r="N3774" s="282"/>
      <c r="O3774"/>
      <c r="P3774" s="159"/>
      <c r="Q3774" s="147"/>
      <c r="R3774" s="149"/>
      <c r="T3774"/>
      <c r="U3774"/>
      <c r="V3774"/>
      <c r="W3774"/>
      <c r="X3774"/>
    </row>
    <row r="3775" spans="1:24" ht="30" customHeight="1" thickBot="1">
      <c r="A3775" s="1165"/>
      <c r="B3775" s="1166"/>
      <c r="C3775" s="1166"/>
      <c r="D3775" s="1166"/>
      <c r="E3775" s="1166"/>
      <c r="F3775" s="1166"/>
      <c r="G3775" s="1166"/>
      <c r="H3775" s="1166"/>
      <c r="I3775" s="1166"/>
      <c r="J3775" s="1166"/>
      <c r="K3775" s="1166"/>
      <c r="L3775" s="1167"/>
      <c r="M3775" s="1146"/>
      <c r="N3775" s="282"/>
      <c r="O3775"/>
      <c r="P3775" s="159"/>
      <c r="Q3775" s="147"/>
      <c r="R3775" s="149"/>
    </row>
    <row r="3776" spans="1:24" ht="30" customHeight="1">
      <c r="A3776" s="27" t="s">
        <v>280</v>
      </c>
      <c r="B3776" s="28">
        <v>8331</v>
      </c>
      <c r="C3776" s="1393" t="s">
        <v>2046</v>
      </c>
      <c r="D3776" s="1394"/>
      <c r="E3776" s="30" t="s">
        <v>282</v>
      </c>
      <c r="F3776" s="31" t="s">
        <v>10</v>
      </c>
      <c r="G3776" s="70" t="s">
        <v>281</v>
      </c>
      <c r="H3776" s="71">
        <v>1</v>
      </c>
      <c r="I3776" s="30" t="s">
        <v>283</v>
      </c>
      <c r="J3776" s="1199" t="s">
        <v>2529</v>
      </c>
      <c r="K3776" s="1199"/>
      <c r="L3776" s="1200"/>
      <c r="M3776" s="1146"/>
      <c r="N3776" s="1103"/>
      <c r="O3776"/>
      <c r="P3776" s="159"/>
      <c r="Q3776" s="147"/>
      <c r="R3776" s="149"/>
    </row>
    <row r="3777" spans="1:24" ht="30" customHeight="1">
      <c r="A3777" s="37" t="s">
        <v>304</v>
      </c>
      <c r="B3777" s="1300" t="s">
        <v>330</v>
      </c>
      <c r="C3777" s="1301"/>
      <c r="D3777" s="1302"/>
      <c r="E3777" s="362" t="s">
        <v>295</v>
      </c>
      <c r="F3777" s="362" t="s">
        <v>331</v>
      </c>
      <c r="G3777" s="1356" t="s">
        <v>332</v>
      </c>
      <c r="H3777" s="1357"/>
      <c r="I3777" s="77" t="s">
        <v>305</v>
      </c>
      <c r="J3777" s="77"/>
      <c r="K3777" s="1303" t="s">
        <v>297</v>
      </c>
      <c r="L3777" s="1304"/>
      <c r="M3777" s="1146"/>
      <c r="N3777" s="1103"/>
      <c r="O3777"/>
      <c r="P3777" s="159"/>
      <c r="Q3777" s="147"/>
      <c r="R3777" s="149"/>
    </row>
    <row r="3778" spans="1:24" ht="30" customHeight="1">
      <c r="A3778" s="45" t="s">
        <v>1594</v>
      </c>
      <c r="B3778" s="1188" t="s">
        <v>2047</v>
      </c>
      <c r="C3778" s="1189"/>
      <c r="D3778" s="1190"/>
      <c r="E3778" s="335">
        <v>64.5</v>
      </c>
      <c r="F3778" s="68" t="s">
        <v>8</v>
      </c>
      <c r="G3778" s="780">
        <v>737</v>
      </c>
      <c r="H3778" s="756" t="s">
        <v>334</v>
      </c>
      <c r="I3778" s="20">
        <v>1.05</v>
      </c>
      <c r="J3778" s="22"/>
      <c r="K3778" s="21">
        <f>+E3778*G3778*I3778</f>
        <v>49913.325000000004</v>
      </c>
      <c r="L3778" s="68" t="s">
        <v>10</v>
      </c>
      <c r="M3778" s="1146"/>
      <c r="N3778" s="1103"/>
      <c r="O3778"/>
      <c r="P3778" s="159"/>
      <c r="Q3778" s="147"/>
      <c r="R3778" s="149"/>
    </row>
    <row r="3779" spans="1:24" ht="30" customHeight="1">
      <c r="A3779" s="45"/>
      <c r="B3779" s="1270" t="s">
        <v>2802</v>
      </c>
      <c r="C3779" s="1371"/>
      <c r="D3779" s="1372"/>
      <c r="E3779" s="775"/>
      <c r="F3779" s="68"/>
      <c r="G3779" s="770"/>
      <c r="H3779" s="333"/>
      <c r="I3779" s="20"/>
      <c r="J3779" s="22"/>
      <c r="K3779" s="23"/>
      <c r="L3779" s="68"/>
      <c r="M3779" s="1146"/>
      <c r="N3779" s="1103"/>
      <c r="O3779"/>
      <c r="P3779" s="159"/>
      <c r="Q3779" s="147"/>
      <c r="R3779" s="149"/>
    </row>
    <row r="3780" spans="1:24" ht="30" customHeight="1">
      <c r="A3780" s="45"/>
      <c r="B3780" s="1224"/>
      <c r="C3780" s="1224"/>
      <c r="D3780" s="1224"/>
      <c r="E3780" s="80"/>
      <c r="F3780" s="1367" t="s">
        <v>308</v>
      </c>
      <c r="G3780" s="1208" t="s">
        <v>309</v>
      </c>
      <c r="H3780" s="1208"/>
      <c r="I3780" s="1208"/>
      <c r="J3780" s="1208"/>
      <c r="K3780" s="123">
        <v>1.06</v>
      </c>
      <c r="L3780" s="24"/>
      <c r="M3780" s="1146"/>
      <c r="N3780" s="1103"/>
      <c r="O3780"/>
      <c r="P3780" s="159"/>
      <c r="Q3780" s="147"/>
      <c r="R3780" s="149"/>
    </row>
    <row r="3781" spans="1:24" ht="30" customHeight="1">
      <c r="A3781" s="45"/>
      <c r="B3781" s="189"/>
      <c r="C3781" s="189"/>
      <c r="D3781" s="189"/>
      <c r="E3781" s="213"/>
      <c r="F3781" s="1368"/>
      <c r="G3781" s="1209" t="s">
        <v>310</v>
      </c>
      <c r="H3781" s="1209"/>
      <c r="I3781" s="1209"/>
      <c r="J3781" s="1209"/>
      <c r="K3781" s="123">
        <v>1.07</v>
      </c>
      <c r="L3781" s="24"/>
      <c r="M3781" s="1146"/>
      <c r="N3781" s="1103"/>
      <c r="O3781" s="34"/>
      <c r="P3781" s="159"/>
      <c r="Q3781" s="147"/>
      <c r="R3781" s="149"/>
    </row>
    <row r="3782" spans="1:24" ht="30" customHeight="1">
      <c r="A3782" s="652"/>
      <c r="B3782" s="954"/>
      <c r="C3782" s="954"/>
      <c r="D3782" s="954"/>
      <c r="E3782" s="213"/>
      <c r="F3782" s="68"/>
      <c r="G3782" s="317"/>
      <c r="H3782" s="267"/>
      <c r="I3782" s="20"/>
      <c r="J3782" s="20" t="s">
        <v>289</v>
      </c>
      <c r="K3782" s="23">
        <f>+K3778*K3780/K3781</f>
        <v>49446.845327102805</v>
      </c>
      <c r="L3782" s="45" t="s">
        <v>10</v>
      </c>
      <c r="M3782" s="1146"/>
      <c r="N3782" s="1103"/>
      <c r="O3782" s="34"/>
      <c r="P3782" s="159"/>
      <c r="Q3782" s="147"/>
      <c r="R3782" s="149"/>
    </row>
    <row r="3783" spans="1:24" ht="30" customHeight="1" thickBot="1">
      <c r="A3783" s="45"/>
      <c r="B3783" s="45"/>
      <c r="C3783" s="46"/>
      <c r="D3783" s="46"/>
      <c r="E3783" s="46"/>
      <c r="F3783" s="46"/>
      <c r="G3783" s="160" t="s">
        <v>312</v>
      </c>
      <c r="H3783" s="18"/>
      <c r="I3783" s="18"/>
      <c r="J3783" s="139">
        <f>VLOOKUP(B3776,'Mil Cost Premiums for RUCs'!$A$4:$R$266,18,FALSE)</f>
        <v>1.0485669999999998</v>
      </c>
      <c r="K3783" s="23">
        <f>+K3782*J3783</f>
        <v>51848.330264104196</v>
      </c>
      <c r="L3783" s="45" t="s">
        <v>10</v>
      </c>
      <c r="M3783" s="1146"/>
      <c r="N3783" s="1103"/>
      <c r="O3783"/>
      <c r="P3783" s="159"/>
      <c r="Q3783" s="147"/>
      <c r="R3783" s="149"/>
    </row>
    <row r="3784" spans="1:24" ht="30" customHeight="1" thickBot="1">
      <c r="A3784" s="1165"/>
      <c r="B3784" s="1166"/>
      <c r="C3784" s="1166"/>
      <c r="D3784" s="1166"/>
      <c r="E3784" s="1166"/>
      <c r="F3784" s="1166"/>
      <c r="G3784" s="1166"/>
      <c r="H3784" s="1166"/>
      <c r="I3784" s="1166"/>
      <c r="J3784" s="1166"/>
      <c r="K3784" s="1166"/>
      <c r="L3784" s="1167"/>
      <c r="M3784" s="1146"/>
      <c r="N3784" s="1103"/>
      <c r="O3784" s="33"/>
      <c r="P3784" s="283"/>
      <c r="Q3784" s="282"/>
      <c r="R3784" s="284"/>
    </row>
    <row r="3785" spans="1:24" ht="30" customHeight="1">
      <c r="A3785" s="27" t="s">
        <v>280</v>
      </c>
      <c r="B3785" s="82">
        <v>8332</v>
      </c>
      <c r="C3785" s="1197" t="s">
        <v>2048</v>
      </c>
      <c r="D3785" s="1198"/>
      <c r="E3785" s="74" t="s">
        <v>282</v>
      </c>
      <c r="F3785" s="75" t="s">
        <v>235</v>
      </c>
      <c r="G3785" s="58" t="s">
        <v>290</v>
      </c>
      <c r="H3785" s="776">
        <v>11</v>
      </c>
      <c r="I3785" s="74" t="s">
        <v>283</v>
      </c>
      <c r="J3785" s="1199" t="s">
        <v>2529</v>
      </c>
      <c r="K3785" s="1199"/>
      <c r="L3785" s="1200"/>
      <c r="M3785" s="1146"/>
      <c r="N3785" s="1103"/>
      <c r="P3785" s="283"/>
      <c r="Q3785" s="282"/>
      <c r="R3785" s="284"/>
    </row>
    <row r="3786" spans="1:24" ht="30" customHeight="1">
      <c r="A3786" s="37" t="s">
        <v>304</v>
      </c>
      <c r="B3786" s="1201" t="s">
        <v>330</v>
      </c>
      <c r="C3786" s="1202"/>
      <c r="D3786" s="1203"/>
      <c r="E3786" s="150" t="s">
        <v>295</v>
      </c>
      <c r="F3786" s="150" t="s">
        <v>331</v>
      </c>
      <c r="G3786" s="1204" t="s">
        <v>332</v>
      </c>
      <c r="H3786" s="1205"/>
      <c r="I3786" s="77" t="s">
        <v>305</v>
      </c>
      <c r="J3786" s="77"/>
      <c r="K3786" s="1303" t="s">
        <v>297</v>
      </c>
      <c r="L3786" s="1304"/>
      <c r="M3786" s="1146"/>
      <c r="N3786" s="1103"/>
      <c r="P3786" s="159"/>
      <c r="Q3786" s="147"/>
      <c r="R3786" s="149"/>
      <c r="T3786" s="32"/>
      <c r="U3786" s="34"/>
    </row>
    <row r="3787" spans="1:24" ht="30" customHeight="1">
      <c r="A3787" s="45" t="s">
        <v>2049</v>
      </c>
      <c r="B3787" s="1179" t="s">
        <v>2803</v>
      </c>
      <c r="C3787" s="1180"/>
      <c r="D3787" s="1181"/>
      <c r="E3787" s="428">
        <f>+(200000+270000)/2</f>
        <v>235000</v>
      </c>
      <c r="F3787" s="22" t="s">
        <v>235</v>
      </c>
      <c r="G3787" s="521"/>
      <c r="H3787" s="333"/>
      <c r="I3787" s="20">
        <v>1.06</v>
      </c>
      <c r="J3787" s="20"/>
      <c r="K3787" s="349">
        <f>+E3787*I3787</f>
        <v>249100</v>
      </c>
      <c r="L3787" s="22" t="s">
        <v>235</v>
      </c>
      <c r="M3787" s="1146"/>
      <c r="N3787" s="1103"/>
      <c r="P3787" s="32"/>
      <c r="Q3787" s="32"/>
      <c r="R3787" s="32"/>
      <c r="S3787" s="32"/>
      <c r="U3787" s="34"/>
    </row>
    <row r="3788" spans="1:24" ht="30" customHeight="1">
      <c r="A3788" s="45" t="s">
        <v>2049</v>
      </c>
      <c r="B3788" s="1179" t="s">
        <v>2050</v>
      </c>
      <c r="C3788" s="1180"/>
      <c r="D3788" s="1181"/>
      <c r="E3788" s="335">
        <f>+(13000+19800)/2</f>
        <v>16400</v>
      </c>
      <c r="F3788" s="22" t="s">
        <v>10</v>
      </c>
      <c r="G3788" s="777">
        <f>+H3785</f>
        <v>11</v>
      </c>
      <c r="H3788" s="333" t="s">
        <v>2051</v>
      </c>
      <c r="I3788" s="20">
        <v>1.06</v>
      </c>
      <c r="J3788" s="20"/>
      <c r="K3788" s="349">
        <f>+E3788/G3788*I3788</f>
        <v>1580.3636363636365</v>
      </c>
      <c r="L3788" s="22" t="s">
        <v>235</v>
      </c>
      <c r="M3788" s="1146"/>
      <c r="N3788" s="1103"/>
      <c r="U3788" s="32"/>
      <c r="V3788" s="32"/>
      <c r="W3788" s="32"/>
      <c r="X3788" s="32"/>
    </row>
    <row r="3789" spans="1:24" s="32" customFormat="1" ht="30" customHeight="1">
      <c r="A3789" s="45" t="s">
        <v>1966</v>
      </c>
      <c r="B3789" s="1179" t="s">
        <v>2052</v>
      </c>
      <c r="C3789" s="1180"/>
      <c r="D3789" s="1181"/>
      <c r="E3789" s="335">
        <f>+(98.5+165)/2</f>
        <v>131.75</v>
      </c>
      <c r="F3789" s="22" t="s">
        <v>344</v>
      </c>
      <c r="G3789" s="778">
        <f>50/H3785</f>
        <v>4.5454545454545459</v>
      </c>
      <c r="H3789" s="333" t="s">
        <v>2804</v>
      </c>
      <c r="I3789" s="20">
        <v>1.06</v>
      </c>
      <c r="J3789" s="20"/>
      <c r="K3789" s="349">
        <f>+E3789*G3789*I3789</f>
        <v>634.79545454545462</v>
      </c>
      <c r="L3789" s="22" t="s">
        <v>235</v>
      </c>
      <c r="M3789" s="1146"/>
      <c r="N3789" s="1103"/>
      <c r="O3789"/>
      <c r="P3789"/>
      <c r="Q3789"/>
      <c r="R3789"/>
      <c r="S3789"/>
      <c r="T3789" s="84"/>
      <c r="U3789" s="38"/>
      <c r="V3789" s="38"/>
      <c r="W3789" s="38"/>
      <c r="X3789" s="38"/>
    </row>
    <row r="3790" spans="1:24" s="38" customFormat="1" ht="30" customHeight="1">
      <c r="A3790" s="45" t="s">
        <v>600</v>
      </c>
      <c r="B3790" s="1179" t="s">
        <v>2053</v>
      </c>
      <c r="C3790" s="1180"/>
      <c r="D3790" s="1181"/>
      <c r="E3790" s="335">
        <v>6450</v>
      </c>
      <c r="F3790" s="22" t="s">
        <v>10</v>
      </c>
      <c r="G3790" s="777">
        <f>+H3785</f>
        <v>11</v>
      </c>
      <c r="H3790" s="333" t="s">
        <v>2051</v>
      </c>
      <c r="I3790" s="326">
        <v>1.07</v>
      </c>
      <c r="J3790" s="20"/>
      <c r="K3790" s="349">
        <f>+E3790/G3790*I3790</f>
        <v>627.40909090909099</v>
      </c>
      <c r="L3790" s="22" t="s">
        <v>235</v>
      </c>
      <c r="M3790" s="1146"/>
      <c r="N3790" s="282"/>
      <c r="O3790"/>
      <c r="P3790" s="39"/>
      <c r="Q3790" s="39"/>
      <c r="R3790" s="39"/>
      <c r="S3790" s="84"/>
      <c r="T3790" s="44"/>
      <c r="U3790"/>
      <c r="V3790"/>
      <c r="W3790"/>
      <c r="X3790"/>
    </row>
    <row r="3791" spans="1:24" ht="30" customHeight="1">
      <c r="A3791" s="45" t="s">
        <v>600</v>
      </c>
      <c r="B3791" s="1179" t="s">
        <v>2054</v>
      </c>
      <c r="C3791" s="1180"/>
      <c r="D3791" s="1181"/>
      <c r="E3791" s="335">
        <f>+(2240+2650)/2</f>
        <v>2445</v>
      </c>
      <c r="F3791" s="22" t="s">
        <v>10</v>
      </c>
      <c r="G3791" s="777">
        <f>+H3785</f>
        <v>11</v>
      </c>
      <c r="H3791" s="333" t="s">
        <v>2051</v>
      </c>
      <c r="I3791" s="326">
        <v>1.07</v>
      </c>
      <c r="J3791" s="20"/>
      <c r="K3791" s="349">
        <f>+E3791/G3791*I3791</f>
        <v>237.83181818181819</v>
      </c>
      <c r="L3791" s="22" t="s">
        <v>235</v>
      </c>
      <c r="M3791" s="1146"/>
      <c r="N3791" s="282"/>
      <c r="O3791"/>
      <c r="P3791" s="34"/>
      <c r="Q3791" s="34"/>
      <c r="R3791" s="34"/>
      <c r="S3791" s="44"/>
    </row>
    <row r="3792" spans="1:24" ht="30" customHeight="1">
      <c r="A3792" s="45" t="s">
        <v>600</v>
      </c>
      <c r="B3792" s="1179" t="s">
        <v>2055</v>
      </c>
      <c r="C3792" s="1180"/>
      <c r="D3792" s="1181"/>
      <c r="E3792" s="335">
        <f>+(6250+6900)/2</f>
        <v>6575</v>
      </c>
      <c r="F3792" s="22" t="s">
        <v>10</v>
      </c>
      <c r="G3792" s="777">
        <f>+H3785</f>
        <v>11</v>
      </c>
      <c r="H3792" s="333" t="s">
        <v>2051</v>
      </c>
      <c r="I3792" s="326">
        <v>1.07</v>
      </c>
      <c r="J3792" s="20"/>
      <c r="K3792" s="349">
        <f>+E3792/G3792*I3792</f>
        <v>639.56818181818187</v>
      </c>
      <c r="L3792" s="22" t="s">
        <v>235</v>
      </c>
      <c r="M3792" s="1146"/>
      <c r="N3792" s="1103"/>
      <c r="O3792" s="38"/>
      <c r="P3792" s="159"/>
      <c r="Q3792" s="147"/>
      <c r="R3792" s="149"/>
    </row>
    <row r="3793" spans="1:24" ht="30" customHeight="1">
      <c r="A3793" s="45" t="s">
        <v>600</v>
      </c>
      <c r="B3793" s="1179" t="s">
        <v>2056</v>
      </c>
      <c r="C3793" s="1180"/>
      <c r="D3793" s="1181"/>
      <c r="E3793" s="335">
        <f>+(2200+2700)/2</f>
        <v>2450</v>
      </c>
      <c r="F3793" s="22" t="s">
        <v>10</v>
      </c>
      <c r="G3793" s="777">
        <f>+H3785</f>
        <v>11</v>
      </c>
      <c r="H3793" s="333" t="s">
        <v>2051</v>
      </c>
      <c r="I3793" s="326">
        <v>1.07</v>
      </c>
      <c r="J3793" s="20"/>
      <c r="K3793" s="349">
        <f>+E3793/G3793*I3793*2</f>
        <v>476.63636363636363</v>
      </c>
      <c r="L3793" s="22" t="s">
        <v>235</v>
      </c>
      <c r="M3793" s="1146"/>
      <c r="N3793" s="1103"/>
      <c r="O3793"/>
      <c r="P3793" s="159"/>
      <c r="Q3793" s="147"/>
      <c r="R3793" s="149"/>
    </row>
    <row r="3794" spans="1:24" ht="30" customHeight="1">
      <c r="A3794" s="46"/>
      <c r="B3794" s="1267"/>
      <c r="C3794" s="1267"/>
      <c r="D3794" s="1267"/>
      <c r="E3794" s="153"/>
      <c r="F3794" s="20"/>
      <c r="G3794" s="20"/>
      <c r="H3794" s="20"/>
      <c r="I3794" s="20"/>
      <c r="J3794" s="20" t="s">
        <v>346</v>
      </c>
      <c r="K3794" s="353">
        <f>SUM(K3787:K3793)</f>
        <v>253296.60454545452</v>
      </c>
      <c r="L3794" s="22" t="s">
        <v>235</v>
      </c>
      <c r="M3794" s="1146"/>
      <c r="N3794" s="1103"/>
      <c r="O3794"/>
      <c r="P3794" s="159"/>
      <c r="Q3794" s="147"/>
      <c r="R3794" s="149"/>
      <c r="T3794" s="38"/>
      <c r="U3794" s="38"/>
      <c r="V3794" s="38"/>
      <c r="W3794" s="38"/>
      <c r="X3794" s="38"/>
    </row>
    <row r="3795" spans="1:24" s="38" customFormat="1" ht="30" customHeight="1">
      <c r="A3795" s="45"/>
      <c r="B3795" s="157"/>
      <c r="C3795" s="157"/>
      <c r="D3795" s="157"/>
      <c r="E3795" s="153"/>
      <c r="F3795" s="1174" t="s">
        <v>308</v>
      </c>
      <c r="G3795" s="1208" t="s">
        <v>309</v>
      </c>
      <c r="H3795" s="1208"/>
      <c r="I3795" s="1208"/>
      <c r="J3795" s="1208"/>
      <c r="K3795" s="123">
        <v>1.06</v>
      </c>
      <c r="L3795" s="10"/>
      <c r="M3795" s="1146"/>
      <c r="N3795" s="125"/>
      <c r="O3795"/>
      <c r="P3795" s="159"/>
      <c r="Q3795" s="147"/>
      <c r="R3795" s="149"/>
      <c r="T3795"/>
      <c r="U3795"/>
      <c r="V3795"/>
      <c r="W3795"/>
      <c r="X3795"/>
    </row>
    <row r="3796" spans="1:24" ht="30" customHeight="1">
      <c r="A3796" s="45"/>
      <c r="B3796" s="157"/>
      <c r="C3796" s="157"/>
      <c r="D3796" s="157"/>
      <c r="E3796" s="153"/>
      <c r="F3796" s="1175"/>
      <c r="G3796" s="1209" t="s">
        <v>310</v>
      </c>
      <c r="H3796" s="1209"/>
      <c r="I3796" s="1209"/>
      <c r="J3796" s="1209"/>
      <c r="K3796" s="123">
        <v>1.07</v>
      </c>
      <c r="L3796" s="10"/>
      <c r="M3796" s="1146"/>
      <c r="N3796" s="193"/>
      <c r="O3796"/>
      <c r="P3796" s="159"/>
      <c r="Q3796" s="147"/>
      <c r="R3796" s="149"/>
    </row>
    <row r="3797" spans="1:24" ht="30" customHeight="1">
      <c r="A3797" s="46"/>
      <c r="B3797" s="20"/>
      <c r="C3797" s="18"/>
      <c r="D3797" s="18"/>
      <c r="E3797" s="18"/>
      <c r="F3797" s="18"/>
      <c r="G3797" s="18"/>
      <c r="H3797" s="18"/>
      <c r="I3797" s="18"/>
      <c r="J3797" s="20" t="s">
        <v>289</v>
      </c>
      <c r="K3797" s="23">
        <f>+K3794*K3795/K3796</f>
        <v>250929.3465590484</v>
      </c>
      <c r="L3797" s="20" t="s">
        <v>235</v>
      </c>
      <c r="M3797" s="1146"/>
      <c r="O3797"/>
      <c r="P3797" s="159"/>
      <c r="Q3797" s="147"/>
      <c r="R3797" s="149"/>
    </row>
    <row r="3798" spans="1:24" ht="30" customHeight="1" thickBot="1">
      <c r="A3798" s="45"/>
      <c r="B3798" s="20"/>
      <c r="C3798" s="18"/>
      <c r="D3798" s="18"/>
      <c r="E3798" s="18"/>
      <c r="F3798" s="18"/>
      <c r="G3798" s="160" t="s">
        <v>312</v>
      </c>
      <c r="H3798" s="18"/>
      <c r="I3798" s="18"/>
      <c r="J3798" s="139">
        <f>VLOOKUP(B3785,'Mil Cost Premiums for RUCs'!$A$4:$R$266,18,FALSE)</f>
        <v>1.1199953840399997</v>
      </c>
      <c r="K3798" s="23">
        <f>+K3797*J3798</f>
        <v>281039.70986630756</v>
      </c>
      <c r="L3798" s="20" t="s">
        <v>235</v>
      </c>
      <c r="M3798" s="1146"/>
      <c r="O3798" s="34"/>
      <c r="P3798" s="159"/>
      <c r="Q3798" s="147"/>
      <c r="R3798" s="149"/>
    </row>
    <row r="3799" spans="1:24" ht="30" customHeight="1" thickBot="1">
      <c r="A3799" s="1165"/>
      <c r="B3799" s="1166"/>
      <c r="C3799" s="1166"/>
      <c r="D3799" s="1166"/>
      <c r="E3799" s="1166"/>
      <c r="F3799" s="1166"/>
      <c r="G3799" s="1166"/>
      <c r="H3799" s="1166"/>
      <c r="I3799" s="1166"/>
      <c r="J3799" s="1166"/>
      <c r="K3799" s="1166"/>
      <c r="L3799" s="1167"/>
      <c r="M3799" s="1146"/>
      <c r="O3799" s="34"/>
      <c r="P3799" s="159"/>
      <c r="Q3799" s="147"/>
      <c r="R3799" s="149"/>
    </row>
    <row r="3800" spans="1:24" ht="30" customHeight="1">
      <c r="A3800" s="27" t="s">
        <v>280</v>
      </c>
      <c r="B3800" s="28">
        <v>8333</v>
      </c>
      <c r="C3800" s="1393" t="s">
        <v>2057</v>
      </c>
      <c r="D3800" s="1394"/>
      <c r="E3800" s="30" t="s">
        <v>282</v>
      </c>
      <c r="F3800" s="31" t="s">
        <v>34</v>
      </c>
      <c r="G3800" s="1395" t="s">
        <v>332</v>
      </c>
      <c r="H3800" s="1396"/>
      <c r="I3800" s="30" t="s">
        <v>283</v>
      </c>
      <c r="J3800" s="1199" t="s">
        <v>237</v>
      </c>
      <c r="K3800" s="1230"/>
      <c r="L3800" s="1231"/>
      <c r="M3800" s="1146"/>
      <c r="N3800" s="1103"/>
      <c r="O3800"/>
      <c r="P3800" s="159"/>
      <c r="Q3800" s="147"/>
      <c r="R3800" s="149"/>
    </row>
    <row r="3801" spans="1:24" ht="30" customHeight="1">
      <c r="A3801" s="35"/>
      <c r="B3801" s="1299" t="s">
        <v>284</v>
      </c>
      <c r="C3801" s="1299"/>
      <c r="D3801" s="1299"/>
      <c r="E3801" s="35" t="s">
        <v>512</v>
      </c>
      <c r="F3801" s="35" t="s">
        <v>2</v>
      </c>
      <c r="G3801" s="180"/>
      <c r="H3801" s="35"/>
      <c r="I3801" s="113" t="s">
        <v>337</v>
      </c>
      <c r="J3801" s="279" t="s">
        <v>426</v>
      </c>
      <c r="K3801" s="1381" t="s">
        <v>297</v>
      </c>
      <c r="L3801" s="1382"/>
      <c r="M3801" s="1146"/>
      <c r="N3801" s="1103"/>
      <c r="O3801"/>
      <c r="P3801" s="283"/>
      <c r="Q3801" s="282"/>
      <c r="R3801" s="284"/>
    </row>
    <row r="3802" spans="1:24" ht="30" customHeight="1">
      <c r="A3802" s="65"/>
      <c r="B3802" s="1222" t="s">
        <v>2058</v>
      </c>
      <c r="C3802" s="1222"/>
      <c r="D3802" s="1222"/>
      <c r="E3802" s="464">
        <v>558597.80000000005</v>
      </c>
      <c r="F3802" s="65" t="s">
        <v>34</v>
      </c>
      <c r="G3802" s="13"/>
      <c r="H3802" s="465"/>
      <c r="I3802" s="1093">
        <v>0.96</v>
      </c>
      <c r="J3802" s="600">
        <f>+'2019 MILCON Inflation Table'!F10</f>
        <v>1.2327470846874402</v>
      </c>
      <c r="K3802" s="464">
        <f>+E3802/I3802*J3802</f>
        <v>717301.88485710195</v>
      </c>
      <c r="L3802" s="65" t="s">
        <v>34</v>
      </c>
      <c r="M3802" s="1146"/>
      <c r="N3802" s="1103"/>
      <c r="O3802"/>
      <c r="P3802" s="283"/>
      <c r="Q3802" s="282"/>
      <c r="R3802" s="284"/>
    </row>
    <row r="3803" spans="1:24" ht="30" customHeight="1">
      <c r="A3803" s="20"/>
      <c r="B3803" s="1224"/>
      <c r="C3803" s="1224"/>
      <c r="D3803" s="1224"/>
      <c r="E3803" s="1176" t="s">
        <v>513</v>
      </c>
      <c r="F3803" s="1177"/>
      <c r="G3803" s="1177"/>
      <c r="H3803" s="1178"/>
      <c r="I3803" s="18"/>
      <c r="J3803" s="79" t="s">
        <v>289</v>
      </c>
      <c r="K3803" s="107">
        <f>+K3802</f>
        <v>717301.88485710195</v>
      </c>
      <c r="L3803" s="20" t="s">
        <v>34</v>
      </c>
      <c r="M3803" s="1146"/>
      <c r="N3803" s="1103"/>
      <c r="O3803"/>
      <c r="P3803" s="159"/>
      <c r="Q3803" s="147"/>
      <c r="R3803" s="149"/>
    </row>
    <row r="3804" spans="1:24" ht="30" customHeight="1" thickBot="1">
      <c r="A3804" s="1682" t="s">
        <v>2806</v>
      </c>
      <c r="B3804" s="1683"/>
      <c r="C3804" s="1683"/>
      <c r="D3804" s="1683"/>
      <c r="E3804" s="1683"/>
      <c r="F3804" s="1683"/>
      <c r="G3804" s="1683"/>
      <c r="H3804" s="1683"/>
      <c r="I3804" s="1683"/>
      <c r="J3804" s="1683"/>
      <c r="K3804" s="1683"/>
      <c r="L3804" s="1684"/>
      <c r="M3804" s="1146"/>
      <c r="N3804" s="1103"/>
      <c r="O3804" s="38"/>
      <c r="P3804" s="159"/>
      <c r="Q3804" s="147"/>
      <c r="R3804" s="149"/>
    </row>
    <row r="3805" spans="1:24" ht="30" customHeight="1" thickBot="1">
      <c r="A3805" s="1165"/>
      <c r="B3805" s="1166"/>
      <c r="C3805" s="1166"/>
      <c r="D3805" s="1166"/>
      <c r="E3805" s="1166"/>
      <c r="F3805" s="1166"/>
      <c r="G3805" s="1166"/>
      <c r="H3805" s="1166"/>
      <c r="I3805" s="1166"/>
      <c r="J3805" s="1166"/>
      <c r="K3805" s="1166"/>
      <c r="L3805" s="1167"/>
      <c r="M3805" s="1146"/>
      <c r="N3805" s="1103"/>
      <c r="O3805"/>
      <c r="P3805" s="159"/>
      <c r="Q3805" s="147"/>
      <c r="R3805" s="149"/>
    </row>
    <row r="3806" spans="1:24" ht="30" customHeight="1">
      <c r="A3806" s="81" t="s">
        <v>280</v>
      </c>
      <c r="B3806" s="82">
        <v>8334</v>
      </c>
      <c r="C3806" s="1197" t="s">
        <v>2059</v>
      </c>
      <c r="D3806" s="1198"/>
      <c r="E3806" s="74" t="s">
        <v>282</v>
      </c>
      <c r="F3806" s="75" t="s">
        <v>34</v>
      </c>
      <c r="G3806" s="1685" t="s">
        <v>332</v>
      </c>
      <c r="H3806" s="1686"/>
      <c r="I3806" s="74" t="s">
        <v>283</v>
      </c>
      <c r="J3806" s="1199" t="s">
        <v>237</v>
      </c>
      <c r="K3806" s="1230"/>
      <c r="L3806" s="1231"/>
      <c r="M3806" s="1146"/>
      <c r="N3806" s="1103"/>
      <c r="O3806" s="34"/>
      <c r="P3806" s="159"/>
      <c r="Q3806" s="147"/>
      <c r="R3806" s="149"/>
      <c r="T3806" s="38"/>
      <c r="U3806" s="38"/>
      <c r="V3806" s="38"/>
      <c r="W3806" s="38"/>
      <c r="X3806" s="38"/>
    </row>
    <row r="3807" spans="1:24" s="38" customFormat="1" ht="30" customHeight="1">
      <c r="A3807" s="77"/>
      <c r="B3807" s="1232" t="s">
        <v>284</v>
      </c>
      <c r="C3807" s="1232"/>
      <c r="D3807" s="1232"/>
      <c r="E3807" s="77" t="s">
        <v>512</v>
      </c>
      <c r="F3807" s="77" t="s">
        <v>2</v>
      </c>
      <c r="G3807" s="463"/>
      <c r="H3807" s="77"/>
      <c r="I3807" s="167" t="s">
        <v>337</v>
      </c>
      <c r="J3807" s="279" t="s">
        <v>426</v>
      </c>
      <c r="K3807" s="1303" t="s">
        <v>297</v>
      </c>
      <c r="L3807" s="1304"/>
      <c r="M3807" s="1146"/>
      <c r="N3807" s="282"/>
      <c r="O3807" s="34"/>
      <c r="P3807" s="159"/>
      <c r="Q3807" s="147"/>
      <c r="R3807" s="149"/>
      <c r="T3807"/>
      <c r="U3807"/>
      <c r="V3807"/>
      <c r="W3807"/>
      <c r="X3807"/>
    </row>
    <row r="3808" spans="1:24" ht="30" customHeight="1">
      <c r="A3808" s="65"/>
      <c r="B3808" s="1222" t="s">
        <v>2058</v>
      </c>
      <c r="C3808" s="1222"/>
      <c r="D3808" s="1222"/>
      <c r="E3808" s="464">
        <v>558597.80000000005</v>
      </c>
      <c r="F3808" s="65" t="s">
        <v>34</v>
      </c>
      <c r="G3808" s="13"/>
      <c r="H3808" s="465"/>
      <c r="I3808" s="1093">
        <v>0.96</v>
      </c>
      <c r="J3808" s="600">
        <f>+'2019 MILCON Inflation Table'!F10</f>
        <v>1.2327470846874402</v>
      </c>
      <c r="K3808" s="464">
        <f>+E3808/I3808*J3808</f>
        <v>717301.88485710195</v>
      </c>
      <c r="L3808" s="65" t="s">
        <v>34</v>
      </c>
      <c r="M3808" s="1146"/>
      <c r="N3808" s="282"/>
      <c r="O3808"/>
      <c r="P3808" s="159"/>
      <c r="Q3808" s="147"/>
      <c r="R3808" s="149"/>
    </row>
    <row r="3809" spans="1:24" ht="30" customHeight="1">
      <c r="A3809" s="45"/>
      <c r="B3809" s="1307"/>
      <c r="C3809" s="1307"/>
      <c r="D3809" s="1307"/>
      <c r="E3809" s="1188" t="s">
        <v>513</v>
      </c>
      <c r="F3809" s="1189"/>
      <c r="G3809" s="1189"/>
      <c r="H3809" s="1190"/>
      <c r="I3809" s="46"/>
      <c r="J3809" s="37" t="s">
        <v>289</v>
      </c>
      <c r="K3809" s="86">
        <f>+K3808</f>
        <v>717301.88485710195</v>
      </c>
      <c r="L3809" s="45" t="s">
        <v>34</v>
      </c>
      <c r="M3809" s="1146"/>
      <c r="N3809" s="1103"/>
      <c r="O3809"/>
      <c r="P3809" s="283"/>
      <c r="Q3809" s="282"/>
      <c r="R3809" s="284"/>
    </row>
    <row r="3810" spans="1:24" ht="30" customHeight="1">
      <c r="A3810" s="1261" t="s">
        <v>2805</v>
      </c>
      <c r="B3810" s="1262"/>
      <c r="C3810" s="1262"/>
      <c r="D3810" s="1262"/>
      <c r="E3810" s="1262"/>
      <c r="F3810" s="1262"/>
      <c r="G3810" s="1262"/>
      <c r="H3810" s="1262"/>
      <c r="I3810" s="1262"/>
      <c r="J3810" s="1262"/>
      <c r="K3810" s="1262"/>
      <c r="L3810" s="1263"/>
      <c r="M3810" s="1146"/>
      <c r="N3810" s="1103"/>
      <c r="O3810"/>
      <c r="P3810" s="283"/>
      <c r="Q3810" s="282"/>
      <c r="R3810" s="284"/>
    </row>
    <row r="3811" spans="1:24" ht="45" customHeight="1">
      <c r="A3811" s="1689"/>
      <c r="B3811" s="1690"/>
      <c r="C3811" s="1690"/>
      <c r="D3811" s="1690"/>
      <c r="E3811" s="1690"/>
      <c r="F3811" s="1690"/>
      <c r="G3811" s="1690"/>
      <c r="H3811" s="1690"/>
      <c r="I3811" s="1690"/>
      <c r="J3811" s="1690"/>
      <c r="K3811" s="1690"/>
      <c r="L3811" s="1691"/>
      <c r="M3811" s="1146"/>
      <c r="N3811" s="1103"/>
      <c r="O3811" s="38"/>
      <c r="P3811" s="159"/>
      <c r="Q3811" s="147"/>
      <c r="R3811" s="149"/>
    </row>
    <row r="3812" spans="1:24" ht="30" customHeight="1" thickBot="1">
      <c r="A3812" s="1673"/>
      <c r="B3812" s="1674"/>
      <c r="C3812" s="1674"/>
      <c r="D3812" s="1674"/>
      <c r="E3812" s="1674"/>
      <c r="F3812" s="1674"/>
      <c r="G3812" s="1674"/>
      <c r="H3812" s="1674"/>
      <c r="I3812" s="1674"/>
      <c r="J3812" s="1674"/>
      <c r="K3812" s="1674"/>
      <c r="L3812" s="1675"/>
      <c r="M3812" s="1146"/>
      <c r="N3812" s="1103"/>
      <c r="O3812"/>
      <c r="P3812" s="159"/>
      <c r="Q3812" s="147"/>
      <c r="R3812" s="149"/>
    </row>
    <row r="3813" spans="1:24" ht="30" customHeight="1" thickBot="1">
      <c r="A3813" s="1165"/>
      <c r="B3813" s="1166"/>
      <c r="C3813" s="1166"/>
      <c r="D3813" s="1166"/>
      <c r="E3813" s="1166"/>
      <c r="F3813" s="1166"/>
      <c r="G3813" s="1166"/>
      <c r="H3813" s="1166"/>
      <c r="I3813" s="1166"/>
      <c r="J3813" s="1166"/>
      <c r="K3813" s="1166"/>
      <c r="L3813" s="1167"/>
      <c r="M3813" s="1146"/>
      <c r="N3813" s="1103"/>
      <c r="O3813"/>
      <c r="P3813" s="159"/>
      <c r="Q3813" s="147"/>
      <c r="R3813" s="149"/>
      <c r="T3813" s="38"/>
      <c r="U3813" s="38"/>
      <c r="V3813" s="38"/>
      <c r="W3813" s="38"/>
      <c r="X3813" s="38"/>
    </row>
    <row r="3814" spans="1:24" s="38" customFormat="1" ht="30" customHeight="1">
      <c r="A3814" s="108" t="s">
        <v>280</v>
      </c>
      <c r="B3814" s="109">
        <v>8412</v>
      </c>
      <c r="C3814" s="1687" t="s">
        <v>2060</v>
      </c>
      <c r="D3814" s="1688"/>
      <c r="E3814" s="216" t="s">
        <v>282</v>
      </c>
      <c r="F3814" s="217" t="s">
        <v>227</v>
      </c>
      <c r="G3814" s="58" t="s">
        <v>290</v>
      </c>
      <c r="H3814" s="245">
        <v>1329</v>
      </c>
      <c r="I3814" s="216" t="s">
        <v>283</v>
      </c>
      <c r="J3814" s="1199" t="s">
        <v>2529</v>
      </c>
      <c r="K3814" s="1199"/>
      <c r="L3814" s="1200"/>
      <c r="M3814" s="1146"/>
      <c r="N3814" s="1103"/>
      <c r="O3814" s="34"/>
      <c r="P3814" s="159"/>
      <c r="Q3814" s="147"/>
      <c r="R3814" s="149"/>
      <c r="T3814"/>
      <c r="U3814"/>
      <c r="V3814"/>
      <c r="W3814"/>
      <c r="X3814"/>
    </row>
    <row r="3815" spans="1:24" ht="30" customHeight="1">
      <c r="A3815" s="294" t="s">
        <v>304</v>
      </c>
      <c r="B3815" s="1436" t="s">
        <v>330</v>
      </c>
      <c r="C3815" s="1437"/>
      <c r="D3815" s="1438"/>
      <c r="E3815" s="219" t="s">
        <v>295</v>
      </c>
      <c r="F3815" s="219" t="s">
        <v>331</v>
      </c>
      <c r="G3815" s="1327" t="s">
        <v>332</v>
      </c>
      <c r="H3815" s="1328"/>
      <c r="I3815" s="167" t="s">
        <v>305</v>
      </c>
      <c r="J3815" s="167"/>
      <c r="K3815" s="1303" t="s">
        <v>297</v>
      </c>
      <c r="L3815" s="1304"/>
      <c r="M3815" s="1146"/>
      <c r="N3815" s="282"/>
      <c r="O3815" s="34"/>
      <c r="P3815" s="159"/>
      <c r="Q3815" s="147"/>
      <c r="R3815" s="149"/>
    </row>
    <row r="3816" spans="1:24" ht="30" customHeight="1">
      <c r="A3816" s="24" t="s">
        <v>1189</v>
      </c>
      <c r="B3816" s="1439" t="s">
        <v>2061</v>
      </c>
      <c r="C3816" s="1440"/>
      <c r="D3816" s="1441"/>
      <c r="E3816" s="299">
        <f>+((4.57+5.44)/2)</f>
        <v>5.0050000000000008</v>
      </c>
      <c r="F3816" s="5" t="s">
        <v>2062</v>
      </c>
      <c r="G3816" s="772">
        <v>1000</v>
      </c>
      <c r="H3816" s="297" t="s">
        <v>2021</v>
      </c>
      <c r="I3816" s="10">
        <v>1.05</v>
      </c>
      <c r="J3816" s="5"/>
      <c r="K3816" s="14">
        <f>+E3816*G3816*I3816</f>
        <v>5255.2500000000009</v>
      </c>
      <c r="L3816" s="5" t="s">
        <v>227</v>
      </c>
      <c r="M3816" s="1146"/>
      <c r="N3816" s="282"/>
      <c r="O3816"/>
      <c r="P3816" s="159"/>
      <c r="Q3816" s="147"/>
      <c r="R3816" s="149"/>
    </row>
    <row r="3817" spans="1:24" ht="30" customHeight="1">
      <c r="A3817" s="45"/>
      <c r="B3817" s="189"/>
      <c r="C3817" s="189"/>
      <c r="D3817" s="189"/>
      <c r="E3817" s="153"/>
      <c r="F3817" s="1174" t="s">
        <v>308</v>
      </c>
      <c r="G3817" s="1208" t="s">
        <v>309</v>
      </c>
      <c r="H3817" s="1208"/>
      <c r="I3817" s="1208"/>
      <c r="J3817" s="1208"/>
      <c r="K3817" s="123">
        <v>1.06</v>
      </c>
      <c r="L3817" s="10"/>
      <c r="M3817" s="1146"/>
      <c r="N3817" s="1103"/>
      <c r="O3817"/>
      <c r="P3817" s="283"/>
      <c r="Q3817" s="282"/>
      <c r="R3817" s="284"/>
    </row>
    <row r="3818" spans="1:24" ht="30" customHeight="1">
      <c r="A3818" s="45"/>
      <c r="B3818" s="189"/>
      <c r="C3818" s="189"/>
      <c r="D3818" s="189"/>
      <c r="E3818" s="153"/>
      <c r="F3818" s="1175"/>
      <c r="G3818" s="1209" t="s">
        <v>310</v>
      </c>
      <c r="H3818" s="1209"/>
      <c r="I3818" s="1209"/>
      <c r="J3818" s="1209"/>
      <c r="K3818" s="123">
        <v>1.07</v>
      </c>
      <c r="L3818" s="10"/>
      <c r="M3818" s="1146"/>
      <c r="N3818" s="1103"/>
      <c r="O3818"/>
      <c r="P3818" s="283"/>
      <c r="Q3818" s="282"/>
      <c r="R3818" s="284"/>
    </row>
    <row r="3819" spans="1:24" ht="30" customHeight="1">
      <c r="A3819" s="765"/>
      <c r="B3819" s="1185"/>
      <c r="C3819" s="1186"/>
      <c r="D3819" s="1187"/>
      <c r="E3819" s="115"/>
      <c r="F3819" s="5"/>
      <c r="G3819" s="401"/>
      <c r="H3819" s="489"/>
      <c r="I3819" s="10"/>
      <c r="J3819" s="10" t="s">
        <v>289</v>
      </c>
      <c r="K3819" s="14">
        <f>+K3816*K3817/K3818</f>
        <v>5206.1355140186924</v>
      </c>
      <c r="L3819" s="10" t="s">
        <v>227</v>
      </c>
      <c r="M3819" s="1146"/>
      <c r="N3819" s="1103"/>
      <c r="O3819"/>
      <c r="P3819" s="159"/>
      <c r="Q3819" s="147"/>
      <c r="R3819" s="149"/>
    </row>
    <row r="3820" spans="1:24" ht="30" customHeight="1">
      <c r="A3820" s="765"/>
      <c r="B3820" s="62"/>
      <c r="C3820" s="63"/>
      <c r="D3820" s="64"/>
      <c r="E3820" s="115"/>
      <c r="F3820" s="5"/>
      <c r="G3820" s="160" t="s">
        <v>312</v>
      </c>
      <c r="H3820" s="489"/>
      <c r="I3820" s="10"/>
      <c r="J3820" s="139">
        <f>VLOOKUP(B3814,'Mil Cost Premiums for RUCs'!$A$4:$R$266,18,FALSE)</f>
        <v>1.1199953840399997</v>
      </c>
      <c r="K3820" s="14">
        <f>+K3819*J3820</f>
        <v>5830.8477443876463</v>
      </c>
      <c r="L3820" s="10" t="s">
        <v>227</v>
      </c>
      <c r="M3820" s="1146"/>
      <c r="N3820" s="1103"/>
      <c r="O3820"/>
      <c r="P3820" s="159"/>
      <c r="Q3820" s="147"/>
      <c r="R3820" s="149"/>
    </row>
    <row r="3821" spans="1:24" ht="60" customHeight="1">
      <c r="A3821" s="1337" t="s">
        <v>313</v>
      </c>
      <c r="B3821" s="1338"/>
      <c r="C3821" s="1338"/>
      <c r="D3821" s="1338"/>
      <c r="E3821" s="1338"/>
      <c r="F3821" s="1338"/>
      <c r="G3821" s="1338"/>
      <c r="H3821" s="1338"/>
      <c r="I3821" s="1338"/>
      <c r="J3821" s="1338"/>
      <c r="K3821" s="1338"/>
      <c r="L3821" s="1339"/>
      <c r="M3821" s="1146"/>
      <c r="N3821" s="1103"/>
      <c r="O3821"/>
      <c r="P3821" s="159"/>
      <c r="Q3821" s="147"/>
      <c r="R3821" s="149"/>
    </row>
    <row r="3822" spans="1:24" ht="30" customHeight="1">
      <c r="A3822" s="1406" t="s">
        <v>314</v>
      </c>
      <c r="B3822" s="1407"/>
      <c r="C3822" s="1408"/>
      <c r="D3822" s="1270" t="s">
        <v>2063</v>
      </c>
      <c r="E3822" s="1371"/>
      <c r="F3822" s="1371"/>
      <c r="G3822" s="1371"/>
      <c r="H3822" s="1371"/>
      <c r="I3822" s="1371"/>
      <c r="J3822" s="1371"/>
      <c r="K3822" s="1371"/>
      <c r="L3822" s="1372"/>
      <c r="M3822" s="1146"/>
      <c r="N3822" s="1103"/>
      <c r="O3822" s="38"/>
      <c r="P3822" s="159"/>
      <c r="Q3822" s="147"/>
      <c r="R3822" s="149"/>
    </row>
    <row r="3823" spans="1:24" ht="30" customHeight="1">
      <c r="A3823" s="1406" t="s">
        <v>316</v>
      </c>
      <c r="B3823" s="1407"/>
      <c r="C3823" s="1408"/>
      <c r="D3823" s="1270" t="s">
        <v>2064</v>
      </c>
      <c r="E3823" s="1371"/>
      <c r="F3823" s="1371"/>
      <c r="G3823" s="1371"/>
      <c r="H3823" s="1371"/>
      <c r="I3823" s="1371"/>
      <c r="J3823" s="1371"/>
      <c r="K3823" s="1371"/>
      <c r="L3823" s="1372"/>
      <c r="M3823" s="1146"/>
      <c r="N3823" s="1103"/>
      <c r="O3823"/>
      <c r="P3823" s="159"/>
      <c r="Q3823" s="147"/>
      <c r="R3823" s="149"/>
    </row>
    <row r="3824" spans="1:24" ht="30" customHeight="1">
      <c r="A3824" s="1406" t="s">
        <v>317</v>
      </c>
      <c r="B3824" s="1407"/>
      <c r="C3824" s="1408"/>
      <c r="D3824" s="1270" t="s">
        <v>2065</v>
      </c>
      <c r="E3824" s="1371"/>
      <c r="F3824" s="1371"/>
      <c r="G3824" s="1371"/>
      <c r="H3824" s="1371"/>
      <c r="I3824" s="1371"/>
      <c r="J3824" s="1371"/>
      <c r="K3824" s="1371"/>
      <c r="L3824" s="1372"/>
      <c r="M3824" s="1146"/>
      <c r="N3824" s="1103"/>
      <c r="O3824"/>
      <c r="P3824" s="159"/>
      <c r="Q3824" s="147"/>
      <c r="R3824" s="149"/>
      <c r="T3824" s="38"/>
      <c r="U3824" s="38"/>
      <c r="V3824" s="38"/>
      <c r="W3824" s="38"/>
      <c r="X3824" s="38"/>
    </row>
    <row r="3825" spans="1:24" s="38" customFormat="1" ht="30" customHeight="1">
      <c r="A3825" s="1406" t="s">
        <v>318</v>
      </c>
      <c r="B3825" s="1407"/>
      <c r="C3825" s="1408"/>
      <c r="D3825" s="1270" t="s">
        <v>2066</v>
      </c>
      <c r="E3825" s="1371"/>
      <c r="F3825" s="1371"/>
      <c r="G3825" s="1371"/>
      <c r="H3825" s="1371"/>
      <c r="I3825" s="1371"/>
      <c r="J3825" s="1371"/>
      <c r="K3825" s="1371"/>
      <c r="L3825" s="1372"/>
      <c r="M3825" s="1146"/>
      <c r="N3825" s="282"/>
      <c r="O3825"/>
      <c r="P3825" s="159"/>
      <c r="Q3825" s="147"/>
      <c r="R3825" s="149"/>
      <c r="T3825"/>
      <c r="U3825"/>
      <c r="V3825"/>
      <c r="W3825"/>
      <c r="X3825"/>
    </row>
    <row r="3826" spans="1:24" ht="30" customHeight="1">
      <c r="A3826" s="1406" t="s">
        <v>320</v>
      </c>
      <c r="B3826" s="1407"/>
      <c r="C3826" s="1408"/>
      <c r="D3826" s="1270" t="s">
        <v>2066</v>
      </c>
      <c r="E3826" s="1371"/>
      <c r="F3826" s="1371"/>
      <c r="G3826" s="1371"/>
      <c r="H3826" s="1371"/>
      <c r="I3826" s="1371"/>
      <c r="J3826" s="1371"/>
      <c r="K3826" s="1371"/>
      <c r="L3826" s="1372"/>
      <c r="M3826" s="1146"/>
      <c r="N3826" s="282"/>
      <c r="O3826" s="34"/>
      <c r="P3826" s="159"/>
      <c r="Q3826" s="147"/>
      <c r="R3826" s="149"/>
    </row>
    <row r="3827" spans="1:24" ht="30" customHeight="1">
      <c r="A3827" s="1406" t="s">
        <v>322</v>
      </c>
      <c r="B3827" s="1407"/>
      <c r="C3827" s="1408"/>
      <c r="D3827" s="1270" t="s">
        <v>1891</v>
      </c>
      <c r="E3827" s="1371"/>
      <c r="F3827" s="1371"/>
      <c r="G3827" s="1371"/>
      <c r="H3827" s="1371"/>
      <c r="I3827" s="1371"/>
      <c r="J3827" s="1371"/>
      <c r="K3827" s="1371"/>
      <c r="L3827" s="1372"/>
      <c r="M3827" s="1146"/>
      <c r="N3827" s="1103"/>
      <c r="O3827" s="34"/>
      <c r="P3827" s="159"/>
      <c r="Q3827" s="147"/>
      <c r="R3827" s="149"/>
    </row>
    <row r="3828" spans="1:24" ht="30" customHeight="1">
      <c r="A3828" s="1406" t="s">
        <v>324</v>
      </c>
      <c r="B3828" s="1407"/>
      <c r="C3828" s="1408"/>
      <c r="D3828" s="1270" t="s">
        <v>2067</v>
      </c>
      <c r="E3828" s="1371"/>
      <c r="F3828" s="1371"/>
      <c r="G3828" s="1371"/>
      <c r="H3828" s="1371"/>
      <c r="I3828" s="1371"/>
      <c r="J3828" s="1371"/>
      <c r="K3828" s="1371"/>
      <c r="L3828" s="1372"/>
      <c r="M3828" s="1146"/>
      <c r="N3828" s="1103"/>
      <c r="O3828" s="34"/>
      <c r="P3828" s="159"/>
      <c r="Q3828" s="147"/>
      <c r="R3828" s="149"/>
    </row>
    <row r="3829" spans="1:24" ht="30" customHeight="1">
      <c r="A3829" s="1406" t="s">
        <v>325</v>
      </c>
      <c r="B3829" s="1407"/>
      <c r="C3829" s="1408"/>
      <c r="D3829" s="1270" t="s">
        <v>326</v>
      </c>
      <c r="E3829" s="1371"/>
      <c r="F3829" s="1371"/>
      <c r="G3829" s="1371"/>
      <c r="H3829" s="1371"/>
      <c r="I3829" s="1371"/>
      <c r="J3829" s="1371"/>
      <c r="K3829" s="1371"/>
      <c r="L3829" s="1372"/>
      <c r="M3829" s="1146"/>
      <c r="N3829" s="1103"/>
      <c r="O3829"/>
      <c r="P3829" s="283"/>
      <c r="Q3829" s="282"/>
      <c r="R3829" s="284"/>
    </row>
    <row r="3830" spans="1:24" ht="50.25" customHeight="1" thickBot="1">
      <c r="A3830" s="1498" t="s">
        <v>327</v>
      </c>
      <c r="B3830" s="1499"/>
      <c r="C3830" s="1500"/>
      <c r="D3830" s="1270" t="s">
        <v>2936</v>
      </c>
      <c r="E3830" s="1371"/>
      <c r="F3830" s="1371"/>
      <c r="G3830" s="1371"/>
      <c r="H3830" s="1371"/>
      <c r="I3830" s="1371"/>
      <c r="J3830" s="1371"/>
      <c r="K3830" s="1371"/>
      <c r="L3830" s="1372"/>
      <c r="M3830" s="1146"/>
      <c r="N3830" s="1103"/>
      <c r="O3830"/>
      <c r="P3830" s="283"/>
      <c r="Q3830" s="282"/>
      <c r="R3830" s="284"/>
    </row>
    <row r="3831" spans="1:24" ht="30" customHeight="1" thickBot="1">
      <c r="A3831" s="1165"/>
      <c r="B3831" s="1166"/>
      <c r="C3831" s="1166"/>
      <c r="D3831" s="1166"/>
      <c r="E3831" s="1166"/>
      <c r="F3831" s="1166"/>
      <c r="G3831" s="1166"/>
      <c r="H3831" s="1166"/>
      <c r="I3831" s="1166"/>
      <c r="J3831" s="1166"/>
      <c r="K3831" s="1166"/>
      <c r="L3831" s="1167"/>
      <c r="M3831" s="1146"/>
      <c r="N3831" s="1103"/>
      <c r="O3831"/>
      <c r="P3831" s="283"/>
      <c r="Q3831" s="282"/>
      <c r="R3831" s="284"/>
    </row>
    <row r="3832" spans="1:24" ht="30" customHeight="1">
      <c r="A3832" s="81" t="s">
        <v>280</v>
      </c>
      <c r="B3832" s="82">
        <v>8413</v>
      </c>
      <c r="C3832" s="1197" t="s">
        <v>2068</v>
      </c>
      <c r="D3832" s="1198"/>
      <c r="E3832" s="74" t="s">
        <v>282</v>
      </c>
      <c r="F3832" s="75" t="s">
        <v>5</v>
      </c>
      <c r="G3832" s="58" t="s">
        <v>290</v>
      </c>
      <c r="H3832" s="701">
        <v>339133</v>
      </c>
      <c r="I3832" s="74" t="s">
        <v>283</v>
      </c>
      <c r="J3832" s="1199" t="s">
        <v>2807</v>
      </c>
      <c r="K3832" s="1230"/>
      <c r="L3832" s="1231"/>
      <c r="M3832" s="1146"/>
      <c r="N3832" s="1103"/>
      <c r="O3832"/>
      <c r="P3832" s="159"/>
      <c r="Q3832" s="147"/>
      <c r="R3832" s="149"/>
    </row>
    <row r="3833" spans="1:24" ht="30" customHeight="1">
      <c r="A3833" s="77" t="s">
        <v>293</v>
      </c>
      <c r="B3833" s="1201" t="s">
        <v>330</v>
      </c>
      <c r="C3833" s="1202"/>
      <c r="D3833" s="1203"/>
      <c r="E3833" s="150" t="s">
        <v>295</v>
      </c>
      <c r="F3833" s="150" t="s">
        <v>331</v>
      </c>
      <c r="G3833" s="1204" t="s">
        <v>332</v>
      </c>
      <c r="H3833" s="1205"/>
      <c r="I3833" s="1233" t="s">
        <v>426</v>
      </c>
      <c r="J3833" s="1234"/>
      <c r="K3833" s="1303" t="s">
        <v>297</v>
      </c>
      <c r="L3833" s="1304"/>
      <c r="M3833" s="1146"/>
      <c r="N3833" s="1103"/>
      <c r="O3833" s="193"/>
      <c r="P3833" s="159"/>
      <c r="Q3833" s="147"/>
      <c r="R3833" s="149"/>
    </row>
    <row r="3834" spans="1:24" ht="30" customHeight="1">
      <c r="A3834" s="20">
        <v>84620</v>
      </c>
      <c r="B3834" s="1176" t="s">
        <v>2069</v>
      </c>
      <c r="C3834" s="1177"/>
      <c r="D3834" s="1178"/>
      <c r="E3834" s="335">
        <v>463260</v>
      </c>
      <c r="F3834" s="22" t="s">
        <v>10</v>
      </c>
      <c r="G3834" s="780">
        <v>250000</v>
      </c>
      <c r="H3834" s="333" t="s">
        <v>1321</v>
      </c>
      <c r="I3834" s="1546">
        <f>+'2019 MILCON Inflation Table'!$F$18</f>
        <v>0.94232233454704462</v>
      </c>
      <c r="J3834" s="1547"/>
      <c r="K3834" s="23">
        <f>+E3834/G3834*I3834</f>
        <v>1.7461609788090555</v>
      </c>
      <c r="L3834" s="22" t="s">
        <v>5</v>
      </c>
      <c r="M3834" s="1146"/>
      <c r="N3834" s="1103"/>
      <c r="O3834"/>
      <c r="P3834" s="159"/>
      <c r="Q3834" s="147"/>
      <c r="R3834" s="149"/>
    </row>
    <row r="3835" spans="1:24" ht="30" customHeight="1">
      <c r="A3835" s="20">
        <v>84620</v>
      </c>
      <c r="B3835" s="1176" t="s">
        <v>2070</v>
      </c>
      <c r="C3835" s="1177"/>
      <c r="D3835" s="1178"/>
      <c r="E3835" s="153">
        <v>650770</v>
      </c>
      <c r="F3835" s="20" t="s">
        <v>10</v>
      </c>
      <c r="G3835" s="781">
        <v>500000</v>
      </c>
      <c r="H3835" s="267" t="s">
        <v>1321</v>
      </c>
      <c r="I3835" s="1546">
        <f>+'2019 MILCON Inflation Table'!$F$18</f>
        <v>0.94232233454704462</v>
      </c>
      <c r="J3835" s="1547"/>
      <c r="K3835" s="23">
        <f>+E3835/G3835*I3835</f>
        <v>1.2264702113063604</v>
      </c>
      <c r="L3835" s="20" t="s">
        <v>5</v>
      </c>
      <c r="M3835" s="1146"/>
      <c r="N3835" s="282"/>
      <c r="O3835"/>
      <c r="P3835" s="159"/>
      <c r="Q3835" s="147"/>
      <c r="R3835" s="149"/>
      <c r="T3835" s="193"/>
      <c r="U3835" s="193"/>
      <c r="V3835" s="193"/>
      <c r="W3835" s="193"/>
      <c r="X3835" s="193"/>
    </row>
    <row r="3836" spans="1:24" s="193" customFormat="1" ht="30" customHeight="1">
      <c r="A3836" s="351"/>
      <c r="B3836" s="1267"/>
      <c r="C3836" s="1267"/>
      <c r="D3836" s="1267"/>
      <c r="E3836" s="153"/>
      <c r="F3836" s="20"/>
      <c r="G3836" s="20"/>
      <c r="H3836" s="20"/>
      <c r="I3836" s="20"/>
      <c r="J3836" s="20" t="s">
        <v>311</v>
      </c>
      <c r="K3836" s="153">
        <f>AVERAGE(K3834:K3835)</f>
        <v>1.4863155950577078</v>
      </c>
      <c r="L3836" s="20" t="s">
        <v>5</v>
      </c>
      <c r="M3836" s="1146"/>
      <c r="N3836" s="282"/>
      <c r="O3836"/>
      <c r="P3836" s="229"/>
      <c r="Q3836" s="1103"/>
      <c r="R3836" s="230"/>
      <c r="T3836"/>
      <c r="U3836"/>
      <c r="V3836"/>
      <c r="W3836"/>
      <c r="X3836"/>
    </row>
    <row r="3837" spans="1:24" ht="30" customHeight="1" thickBot="1">
      <c r="A3837" s="20"/>
      <c r="B3837" s="20"/>
      <c r="C3837" s="18"/>
      <c r="D3837" s="18"/>
      <c r="E3837" s="18"/>
      <c r="F3837" s="18"/>
      <c r="G3837" s="18"/>
      <c r="H3837" s="18"/>
      <c r="I3837" s="18"/>
      <c r="J3837" s="79" t="s">
        <v>289</v>
      </c>
      <c r="K3837" s="23">
        <f>+K3836</f>
        <v>1.4863155950577078</v>
      </c>
      <c r="L3837" s="20" t="s">
        <v>5</v>
      </c>
      <c r="M3837" s="1146"/>
      <c r="N3837" s="282"/>
      <c r="O3837"/>
      <c r="P3837" s="159"/>
      <c r="Q3837" s="147"/>
      <c r="R3837" s="149"/>
    </row>
    <row r="3838" spans="1:24" ht="30" customHeight="1" thickBot="1">
      <c r="A3838" s="1165"/>
      <c r="B3838" s="1166"/>
      <c r="C3838" s="1166"/>
      <c r="D3838" s="1166"/>
      <c r="E3838" s="1166"/>
      <c r="F3838" s="1166"/>
      <c r="G3838" s="1166"/>
      <c r="H3838" s="1166"/>
      <c r="I3838" s="1166"/>
      <c r="J3838" s="1166"/>
      <c r="K3838" s="1166"/>
      <c r="L3838" s="1167"/>
      <c r="M3838" s="1146"/>
      <c r="N3838" s="1103"/>
      <c r="O3838"/>
      <c r="P3838" s="159"/>
      <c r="Q3838" s="147"/>
      <c r="R3838" s="149"/>
    </row>
    <row r="3839" spans="1:24" ht="30" customHeight="1">
      <c r="A3839" s="27" t="s">
        <v>280</v>
      </c>
      <c r="B3839" s="28">
        <v>8414</v>
      </c>
      <c r="C3839" s="1393" t="s">
        <v>2071</v>
      </c>
      <c r="D3839" s="1394"/>
      <c r="E3839" s="30" t="s">
        <v>282</v>
      </c>
      <c r="F3839" s="31" t="s">
        <v>227</v>
      </c>
      <c r="G3839" s="58" t="s">
        <v>290</v>
      </c>
      <c r="H3839" s="76">
        <v>513</v>
      </c>
      <c r="I3839" s="74" t="s">
        <v>283</v>
      </c>
      <c r="J3839" s="1199" t="s">
        <v>2529</v>
      </c>
      <c r="K3839" s="1199"/>
      <c r="L3839" s="1200"/>
      <c r="M3839" s="1146"/>
      <c r="N3839" s="1103"/>
      <c r="O3839"/>
      <c r="P3839" s="159"/>
      <c r="Q3839" s="147"/>
      <c r="R3839" s="149"/>
    </row>
    <row r="3840" spans="1:24" ht="30" customHeight="1">
      <c r="A3840" s="37" t="s">
        <v>304</v>
      </c>
      <c r="B3840" s="1300" t="s">
        <v>330</v>
      </c>
      <c r="C3840" s="1301"/>
      <c r="D3840" s="1302"/>
      <c r="E3840" s="362" t="s">
        <v>295</v>
      </c>
      <c r="F3840" s="362" t="s">
        <v>331</v>
      </c>
      <c r="G3840" s="1204" t="s">
        <v>332</v>
      </c>
      <c r="H3840" s="1205"/>
      <c r="I3840" s="77" t="s">
        <v>305</v>
      </c>
      <c r="J3840" s="35"/>
      <c r="K3840" s="1303" t="s">
        <v>297</v>
      </c>
      <c r="L3840" s="1304"/>
      <c r="M3840" s="1146"/>
      <c r="N3840" s="1103"/>
      <c r="O3840"/>
      <c r="P3840" s="159"/>
      <c r="Q3840" s="147"/>
      <c r="R3840" s="149"/>
    </row>
    <row r="3841" spans="1:18" ht="30" customHeight="1">
      <c r="A3841" s="45" t="s">
        <v>508</v>
      </c>
      <c r="B3841" s="1176" t="s">
        <v>2072</v>
      </c>
      <c r="C3841" s="1177"/>
      <c r="D3841" s="1178"/>
      <c r="E3841" s="335">
        <f>200*52.5</f>
        <v>10500</v>
      </c>
      <c r="F3841" s="68" t="s">
        <v>10</v>
      </c>
      <c r="G3841" s="955">
        <f>+H3839</f>
        <v>513</v>
      </c>
      <c r="H3841" s="782" t="s">
        <v>2025</v>
      </c>
      <c r="I3841" s="20">
        <v>1.08</v>
      </c>
      <c r="J3841" s="68"/>
      <c r="K3841" s="21">
        <f>+E3841/G3841*I3841</f>
        <v>22.105263157894736</v>
      </c>
      <c r="L3841" s="68" t="s">
        <v>227</v>
      </c>
      <c r="M3841" s="1146"/>
      <c r="N3841" s="1103"/>
      <c r="O3841"/>
      <c r="P3841" s="159"/>
      <c r="Q3841" s="147"/>
      <c r="R3841" s="149"/>
    </row>
    <row r="3842" spans="1:18" ht="30" customHeight="1">
      <c r="A3842" s="45" t="s">
        <v>2073</v>
      </c>
      <c r="B3842" s="1179" t="s">
        <v>2094</v>
      </c>
      <c r="C3842" s="1180"/>
      <c r="D3842" s="1181"/>
      <c r="E3842" s="153">
        <v>14000</v>
      </c>
      <c r="F3842" s="262" t="s">
        <v>10</v>
      </c>
      <c r="G3842" s="781">
        <v>648</v>
      </c>
      <c r="H3842" s="259" t="s">
        <v>2093</v>
      </c>
      <c r="I3842" s="334">
        <v>1.1000000000000001</v>
      </c>
      <c r="J3842" s="45"/>
      <c r="K3842" s="21">
        <f>+E3842/G3842*I3842</f>
        <v>23.765432098765434</v>
      </c>
      <c r="L3842" s="45" t="s">
        <v>227</v>
      </c>
      <c r="M3842" s="1146"/>
      <c r="N3842" s="1103"/>
      <c r="O3842"/>
      <c r="P3842" s="159"/>
      <c r="Q3842" s="147"/>
      <c r="R3842" s="149"/>
    </row>
    <row r="3843" spans="1:18" ht="30" customHeight="1">
      <c r="A3843" s="652"/>
      <c r="B3843" s="1179" t="s">
        <v>2808</v>
      </c>
      <c r="C3843" s="1180"/>
      <c r="D3843" s="1180"/>
      <c r="E3843" s="1180"/>
      <c r="F3843" s="1181"/>
      <c r="G3843" s="68"/>
      <c r="H3843" s="68"/>
      <c r="I3843" s="45"/>
      <c r="J3843" s="45" t="s">
        <v>346</v>
      </c>
      <c r="K3843" s="213">
        <f>SUM(K3841:K3842)</f>
        <v>45.87069525666017</v>
      </c>
      <c r="L3843" s="45" t="s">
        <v>227</v>
      </c>
      <c r="M3843" s="1146"/>
      <c r="N3843" s="1103"/>
      <c r="O3843"/>
      <c r="P3843" s="159"/>
      <c r="Q3843" s="147"/>
      <c r="R3843" s="149"/>
    </row>
    <row r="3844" spans="1:18" ht="30" customHeight="1">
      <c r="A3844" s="45"/>
      <c r="B3844" s="189"/>
      <c r="C3844" s="189"/>
      <c r="D3844" s="189"/>
      <c r="E3844" s="213"/>
      <c r="F3844" s="1367" t="s">
        <v>308</v>
      </c>
      <c r="G3844" s="1208" t="s">
        <v>309</v>
      </c>
      <c r="H3844" s="1208"/>
      <c r="I3844" s="1208"/>
      <c r="J3844" s="1208"/>
      <c r="K3844" s="123">
        <v>1.06</v>
      </c>
      <c r="L3844" s="24"/>
      <c r="M3844" s="1146"/>
      <c r="N3844" s="1103"/>
      <c r="O3844"/>
      <c r="P3844" s="159"/>
      <c r="Q3844" s="147"/>
      <c r="R3844" s="149"/>
    </row>
    <row r="3845" spans="1:18" ht="30" customHeight="1">
      <c r="A3845" s="45"/>
      <c r="B3845" s="189"/>
      <c r="C3845" s="189"/>
      <c r="D3845" s="189"/>
      <c r="E3845" s="213"/>
      <c r="F3845" s="1368"/>
      <c r="G3845" s="1209" t="s">
        <v>310</v>
      </c>
      <c r="H3845" s="1209"/>
      <c r="I3845" s="1209"/>
      <c r="J3845" s="1209"/>
      <c r="K3845" s="123">
        <v>1.07</v>
      </c>
      <c r="L3845" s="24"/>
      <c r="M3845" s="1146"/>
      <c r="N3845" s="1103"/>
      <c r="O3845"/>
      <c r="P3845" s="159"/>
      <c r="Q3845" s="147"/>
      <c r="R3845" s="149"/>
    </row>
    <row r="3846" spans="1:18" ht="30" customHeight="1">
      <c r="A3846" s="45"/>
      <c r="B3846" s="45"/>
      <c r="C3846" s="46"/>
      <c r="D3846" s="46"/>
      <c r="E3846" s="46"/>
      <c r="F3846" s="46"/>
      <c r="G3846" s="18"/>
      <c r="H3846" s="18"/>
      <c r="I3846" s="18"/>
      <c r="J3846" s="20" t="s">
        <v>289</v>
      </c>
      <c r="K3846" s="23">
        <f>+K3843*K3844/K3845</f>
        <v>45.441997170149328</v>
      </c>
      <c r="L3846" s="45" t="s">
        <v>227</v>
      </c>
      <c r="M3846" s="1146"/>
      <c r="N3846" s="1103"/>
      <c r="O3846"/>
      <c r="P3846" s="159"/>
      <c r="Q3846" s="147"/>
      <c r="R3846" s="149"/>
    </row>
    <row r="3847" spans="1:18" ht="30" customHeight="1" thickBot="1">
      <c r="A3847" s="45"/>
      <c r="B3847" s="45"/>
      <c r="C3847" s="46"/>
      <c r="D3847" s="46"/>
      <c r="E3847" s="46"/>
      <c r="F3847" s="46"/>
      <c r="G3847" s="160" t="s">
        <v>312</v>
      </c>
      <c r="H3847" s="18"/>
      <c r="I3847" s="18"/>
      <c r="J3847" s="139">
        <f>VLOOKUP(B3839,'Mil Cost Premiums for RUCs'!$A$4:$R$266,18,FALSE)</f>
        <v>1.0209999999999999</v>
      </c>
      <c r="K3847" s="23">
        <f>+K3846*J3847</f>
        <v>46.39627911072246</v>
      </c>
      <c r="L3847" s="45" t="s">
        <v>227</v>
      </c>
      <c r="M3847" s="1146"/>
      <c r="N3847" s="1103"/>
      <c r="O3847"/>
      <c r="P3847" s="159"/>
      <c r="Q3847" s="147"/>
      <c r="R3847" s="149"/>
    </row>
    <row r="3848" spans="1:18" ht="30" customHeight="1" thickBot="1">
      <c r="A3848" s="1165"/>
      <c r="B3848" s="1166"/>
      <c r="C3848" s="1166"/>
      <c r="D3848" s="1166"/>
      <c r="E3848" s="1166"/>
      <c r="F3848" s="1166"/>
      <c r="G3848" s="1166"/>
      <c r="H3848" s="1166"/>
      <c r="I3848" s="1166"/>
      <c r="J3848" s="1166"/>
      <c r="K3848" s="1166"/>
      <c r="L3848" s="1167"/>
      <c r="M3848" s="1146"/>
      <c r="N3848" s="1103"/>
      <c r="O3848"/>
      <c r="P3848" s="159"/>
      <c r="Q3848" s="147"/>
      <c r="R3848" s="149"/>
    </row>
    <row r="3849" spans="1:18" ht="30" customHeight="1">
      <c r="A3849" s="108" t="s">
        <v>280</v>
      </c>
      <c r="B3849" s="109">
        <v>8421</v>
      </c>
      <c r="C3849" s="1576" t="s">
        <v>2074</v>
      </c>
      <c r="D3849" s="1577"/>
      <c r="E3849" s="216" t="s">
        <v>282</v>
      </c>
      <c r="F3849" s="217" t="s">
        <v>6</v>
      </c>
      <c r="G3849" s="58" t="s">
        <v>290</v>
      </c>
      <c r="H3849" s="245">
        <v>18136</v>
      </c>
      <c r="I3849" s="216" t="s">
        <v>283</v>
      </c>
      <c r="J3849" s="1199" t="s">
        <v>2529</v>
      </c>
      <c r="K3849" s="1199"/>
      <c r="L3849" s="1200"/>
      <c r="M3849" s="1146"/>
      <c r="N3849" s="1103"/>
      <c r="O3849"/>
      <c r="P3849" s="159"/>
      <c r="Q3849" s="147"/>
      <c r="R3849" s="149"/>
    </row>
    <row r="3850" spans="1:18" ht="30" customHeight="1">
      <c r="A3850" s="294" t="s">
        <v>304</v>
      </c>
      <c r="B3850" s="1436" t="s">
        <v>330</v>
      </c>
      <c r="C3850" s="1437"/>
      <c r="D3850" s="1438"/>
      <c r="E3850" s="219" t="s">
        <v>295</v>
      </c>
      <c r="F3850" s="219" t="s">
        <v>331</v>
      </c>
      <c r="G3850" s="1327" t="s">
        <v>332</v>
      </c>
      <c r="H3850" s="1328"/>
      <c r="I3850" s="167" t="s">
        <v>305</v>
      </c>
      <c r="J3850" s="167"/>
      <c r="K3850" s="1303" t="s">
        <v>297</v>
      </c>
      <c r="L3850" s="1304"/>
      <c r="M3850" s="1146"/>
      <c r="N3850" s="1103"/>
      <c r="O3850"/>
      <c r="P3850" s="159"/>
      <c r="Q3850" s="147"/>
      <c r="R3850" s="149"/>
    </row>
    <row r="3851" spans="1:18" ht="30" customHeight="1">
      <c r="A3851" s="24" t="s">
        <v>342</v>
      </c>
      <c r="B3851" s="1185" t="s">
        <v>2809</v>
      </c>
      <c r="C3851" s="1186"/>
      <c r="D3851" s="1187"/>
      <c r="E3851" s="299">
        <v>36.42</v>
      </c>
      <c r="F3851" s="5" t="s">
        <v>6</v>
      </c>
      <c r="G3851" s="772"/>
      <c r="H3851" s="297"/>
      <c r="I3851" s="10">
        <v>1.05</v>
      </c>
      <c r="J3851" s="5"/>
      <c r="K3851" s="14">
        <f>+E3851*I3851</f>
        <v>38.241000000000007</v>
      </c>
      <c r="L3851" s="5" t="s">
        <v>6</v>
      </c>
      <c r="M3851" s="1146"/>
      <c r="N3851" s="1103"/>
      <c r="O3851"/>
      <c r="P3851" s="159"/>
      <c r="Q3851" s="147"/>
      <c r="R3851" s="149"/>
    </row>
    <row r="3852" spans="1:18" ht="30" customHeight="1">
      <c r="A3852" s="24" t="s">
        <v>342</v>
      </c>
      <c r="B3852" s="1185" t="s">
        <v>2810</v>
      </c>
      <c r="C3852" s="1186"/>
      <c r="D3852" s="1187"/>
      <c r="E3852" s="299">
        <v>25.6</v>
      </c>
      <c r="F3852" s="5" t="s">
        <v>6</v>
      </c>
      <c r="G3852" s="772"/>
      <c r="H3852" s="297"/>
      <c r="I3852" s="10">
        <v>1.05</v>
      </c>
      <c r="J3852" s="5"/>
      <c r="K3852" s="14">
        <f>+E3852*I3852</f>
        <v>26.880000000000003</v>
      </c>
      <c r="L3852" s="5" t="s">
        <v>6</v>
      </c>
      <c r="M3852" s="1146"/>
      <c r="N3852" s="1103"/>
      <c r="O3852"/>
      <c r="P3852" s="159"/>
      <c r="Q3852" s="147"/>
      <c r="R3852" s="149"/>
    </row>
    <row r="3853" spans="1:18" ht="30" customHeight="1">
      <c r="A3853" s="24" t="s">
        <v>342</v>
      </c>
      <c r="B3853" s="1185" t="s">
        <v>2811</v>
      </c>
      <c r="C3853" s="1186"/>
      <c r="D3853" s="1187"/>
      <c r="E3853" s="299">
        <v>15.21</v>
      </c>
      <c r="F3853" s="5" t="s">
        <v>6</v>
      </c>
      <c r="G3853" s="226"/>
      <c r="H3853" s="226"/>
      <c r="I3853" s="10">
        <v>1.05</v>
      </c>
      <c r="J3853" s="5"/>
      <c r="K3853" s="14">
        <f>+E3853*I3853</f>
        <v>15.970500000000001</v>
      </c>
      <c r="L3853" s="5" t="s">
        <v>6</v>
      </c>
      <c r="M3853" s="1146"/>
      <c r="N3853" s="1103"/>
      <c r="O3853"/>
      <c r="P3853" s="159"/>
      <c r="Q3853" s="147"/>
      <c r="R3853" s="149"/>
    </row>
    <row r="3854" spans="1:18" ht="30" customHeight="1">
      <c r="A3854" s="24"/>
      <c r="B3854" s="62"/>
      <c r="C3854" s="63"/>
      <c r="D3854" s="64"/>
      <c r="E3854" s="299"/>
      <c r="F3854" s="5"/>
      <c r="G3854" s="1288" t="s">
        <v>2040</v>
      </c>
      <c r="H3854" s="1287"/>
      <c r="I3854" s="10"/>
      <c r="J3854" s="5"/>
      <c r="K3854" s="14">
        <f>AVERAGE(K3851:K3853)</f>
        <v>27.030500000000004</v>
      </c>
      <c r="L3854" s="5" t="s">
        <v>6</v>
      </c>
      <c r="M3854" s="1146"/>
      <c r="N3854" s="1103"/>
      <c r="O3854" s="34"/>
      <c r="P3854" s="159"/>
      <c r="Q3854" s="147"/>
      <c r="R3854" s="149"/>
    </row>
    <row r="3855" spans="1:18" ht="30" customHeight="1">
      <c r="A3855" s="45"/>
      <c r="B3855" s="189"/>
      <c r="C3855" s="189"/>
      <c r="D3855" s="189"/>
      <c r="E3855" s="153"/>
      <c r="F3855" s="1174" t="s">
        <v>308</v>
      </c>
      <c r="G3855" s="1208" t="s">
        <v>309</v>
      </c>
      <c r="H3855" s="1208"/>
      <c r="I3855" s="1208"/>
      <c r="J3855" s="1208"/>
      <c r="K3855" s="123">
        <v>1.06</v>
      </c>
      <c r="L3855" s="10"/>
      <c r="M3855" s="1146"/>
      <c r="N3855" s="1103"/>
      <c r="O3855" s="34"/>
      <c r="P3855" s="159"/>
      <c r="Q3855" s="147"/>
      <c r="R3855" s="149"/>
    </row>
    <row r="3856" spans="1:18" ht="30" customHeight="1">
      <c r="A3856" s="45"/>
      <c r="B3856" s="189"/>
      <c r="C3856" s="189"/>
      <c r="D3856" s="189"/>
      <c r="E3856" s="153"/>
      <c r="F3856" s="1175"/>
      <c r="G3856" s="1209" t="s">
        <v>310</v>
      </c>
      <c r="H3856" s="1209"/>
      <c r="I3856" s="1209"/>
      <c r="J3856" s="1209"/>
      <c r="K3856" s="123">
        <v>1.07</v>
      </c>
      <c r="L3856" s="10"/>
      <c r="M3856" s="1146"/>
      <c r="N3856" s="1103"/>
      <c r="O3856"/>
      <c r="P3856" s="159"/>
      <c r="Q3856" s="147"/>
      <c r="R3856" s="149"/>
    </row>
    <row r="3857" spans="1:24" ht="30" customHeight="1">
      <c r="A3857" s="24"/>
      <c r="B3857" s="24"/>
      <c r="C3857" s="47"/>
      <c r="D3857" s="47"/>
      <c r="E3857" s="13"/>
      <c r="F3857" s="13"/>
      <c r="G3857" s="13"/>
      <c r="H3857" s="13"/>
      <c r="I3857" s="13"/>
      <c r="J3857" s="10" t="s">
        <v>289</v>
      </c>
      <c r="K3857" s="14">
        <f>+K3854*K3855/K3856</f>
        <v>26.777878504672902</v>
      </c>
      <c r="L3857" s="10" t="s">
        <v>6</v>
      </c>
      <c r="M3857" s="1146"/>
      <c r="N3857" s="1103"/>
      <c r="O3857"/>
      <c r="P3857" s="283"/>
      <c r="Q3857" s="282"/>
      <c r="R3857" s="284"/>
    </row>
    <row r="3858" spans="1:24" ht="30" customHeight="1">
      <c r="A3858" s="24"/>
      <c r="B3858" s="24"/>
      <c r="C3858" s="47"/>
      <c r="D3858" s="47"/>
      <c r="E3858" s="13"/>
      <c r="F3858" s="13"/>
      <c r="G3858" s="160" t="s">
        <v>312</v>
      </c>
      <c r="H3858" s="13"/>
      <c r="I3858" s="13"/>
      <c r="J3858" s="139">
        <f>VLOOKUP(B3849,'Mil Cost Premiums for RUCs'!$A$4:$R$266,18,FALSE)</f>
        <v>1.0905505199999999</v>
      </c>
      <c r="K3858" s="14">
        <f>+K3857*J3858</f>
        <v>29.202629327767852</v>
      </c>
      <c r="L3858" s="10" t="s">
        <v>6</v>
      </c>
      <c r="M3858" s="1146"/>
      <c r="N3858" s="1103"/>
      <c r="O3858"/>
      <c r="P3858" s="283"/>
      <c r="Q3858" s="282"/>
      <c r="R3858" s="284"/>
    </row>
    <row r="3859" spans="1:24" ht="60" customHeight="1">
      <c r="A3859" s="1337" t="s">
        <v>313</v>
      </c>
      <c r="B3859" s="1338"/>
      <c r="C3859" s="1338"/>
      <c r="D3859" s="1338"/>
      <c r="E3859" s="1338"/>
      <c r="F3859" s="1338"/>
      <c r="G3859" s="1338"/>
      <c r="H3859" s="1338"/>
      <c r="I3859" s="1338"/>
      <c r="J3859" s="1338"/>
      <c r="K3859" s="1338"/>
      <c r="L3859" s="1339"/>
      <c r="M3859" s="1146"/>
      <c r="N3859" s="1103"/>
      <c r="O3859"/>
      <c r="P3859" s="159"/>
      <c r="Q3859" s="147"/>
      <c r="R3859" s="149"/>
    </row>
    <row r="3860" spans="1:24" ht="30" customHeight="1">
      <c r="A3860" s="1406" t="s">
        <v>314</v>
      </c>
      <c r="B3860" s="1407"/>
      <c r="C3860" s="1408"/>
      <c r="D3860" s="1270" t="s">
        <v>2075</v>
      </c>
      <c r="E3860" s="1371"/>
      <c r="F3860" s="1371"/>
      <c r="G3860" s="1371"/>
      <c r="H3860" s="1371"/>
      <c r="I3860" s="1371"/>
      <c r="J3860" s="1371"/>
      <c r="K3860" s="1371"/>
      <c r="L3860" s="1372"/>
      <c r="M3860" s="1146"/>
      <c r="N3860" s="1103"/>
      <c r="O3860"/>
      <c r="P3860" s="159"/>
      <c r="Q3860" s="147"/>
      <c r="R3860" s="149"/>
    </row>
    <row r="3861" spans="1:24" ht="30" customHeight="1">
      <c r="A3861" s="1406" t="s">
        <v>316</v>
      </c>
      <c r="B3861" s="1407"/>
      <c r="C3861" s="1408"/>
      <c r="D3861" s="1270" t="s">
        <v>2076</v>
      </c>
      <c r="E3861" s="1371"/>
      <c r="F3861" s="1371"/>
      <c r="G3861" s="1371"/>
      <c r="H3861" s="1371"/>
      <c r="I3861" s="1371"/>
      <c r="J3861" s="1371"/>
      <c r="K3861" s="1371"/>
      <c r="L3861" s="1372"/>
      <c r="M3861" s="1146"/>
      <c r="N3861" s="1103"/>
      <c r="O3861"/>
      <c r="P3861" s="159"/>
      <c r="Q3861" s="147"/>
      <c r="R3861" s="149"/>
    </row>
    <row r="3862" spans="1:24" ht="30" customHeight="1">
      <c r="A3862" s="1406" t="s">
        <v>317</v>
      </c>
      <c r="B3862" s="1407"/>
      <c r="C3862" s="1408"/>
      <c r="D3862" s="1270" t="s">
        <v>2812</v>
      </c>
      <c r="E3862" s="1371"/>
      <c r="F3862" s="1371"/>
      <c r="G3862" s="1371"/>
      <c r="H3862" s="1371"/>
      <c r="I3862" s="1371"/>
      <c r="J3862" s="1371"/>
      <c r="K3862" s="1371"/>
      <c r="L3862" s="1372"/>
      <c r="M3862" s="1146"/>
      <c r="N3862" s="1103"/>
      <c r="O3862"/>
      <c r="P3862" s="159"/>
      <c r="Q3862" s="147"/>
      <c r="R3862" s="149"/>
    </row>
    <row r="3863" spans="1:24" ht="30" customHeight="1">
      <c r="A3863" s="1406" t="s">
        <v>318</v>
      </c>
      <c r="B3863" s="1407"/>
      <c r="C3863" s="1408"/>
      <c r="D3863" s="1270" t="s">
        <v>2077</v>
      </c>
      <c r="E3863" s="1371"/>
      <c r="F3863" s="1371"/>
      <c r="G3863" s="1371"/>
      <c r="H3863" s="1371"/>
      <c r="I3863" s="1371"/>
      <c r="J3863" s="1371"/>
      <c r="K3863" s="1371"/>
      <c r="L3863" s="1372"/>
      <c r="M3863" s="1146"/>
      <c r="N3863" s="282"/>
      <c r="O3863"/>
      <c r="P3863" s="159"/>
      <c r="Q3863" s="147"/>
      <c r="R3863" s="149"/>
    </row>
    <row r="3864" spans="1:24" ht="30" customHeight="1">
      <c r="A3864" s="1406" t="s">
        <v>320</v>
      </c>
      <c r="B3864" s="1407"/>
      <c r="C3864" s="1408"/>
      <c r="D3864" s="1270" t="s">
        <v>1971</v>
      </c>
      <c r="E3864" s="1371"/>
      <c r="F3864" s="1371"/>
      <c r="G3864" s="1371"/>
      <c r="H3864" s="1371"/>
      <c r="I3864" s="1371"/>
      <c r="J3864" s="1371"/>
      <c r="K3864" s="1371"/>
      <c r="L3864" s="1372"/>
      <c r="M3864" s="1146"/>
      <c r="N3864" s="282"/>
      <c r="O3864"/>
      <c r="P3864" s="159"/>
      <c r="Q3864" s="147"/>
      <c r="R3864" s="149"/>
    </row>
    <row r="3865" spans="1:24" ht="30" customHeight="1">
      <c r="A3865" s="1406" t="s">
        <v>322</v>
      </c>
      <c r="B3865" s="1407"/>
      <c r="C3865" s="1408"/>
      <c r="D3865" s="1270" t="s">
        <v>1891</v>
      </c>
      <c r="E3865" s="1371"/>
      <c r="F3865" s="1371"/>
      <c r="G3865" s="1371"/>
      <c r="H3865" s="1371"/>
      <c r="I3865" s="1371"/>
      <c r="J3865" s="1371"/>
      <c r="K3865" s="1371"/>
      <c r="L3865" s="1372"/>
      <c r="M3865" s="1146"/>
      <c r="N3865" s="1103"/>
      <c r="O3865"/>
      <c r="P3865" s="159"/>
      <c r="Q3865" s="147"/>
      <c r="R3865" s="149"/>
    </row>
    <row r="3866" spans="1:24" ht="30" customHeight="1">
      <c r="A3866" s="1406" t="s">
        <v>324</v>
      </c>
      <c r="B3866" s="1407"/>
      <c r="C3866" s="1408"/>
      <c r="D3866" s="1270" t="s">
        <v>2045</v>
      </c>
      <c r="E3866" s="1371"/>
      <c r="F3866" s="1371"/>
      <c r="G3866" s="1371"/>
      <c r="H3866" s="1371"/>
      <c r="I3866" s="1371"/>
      <c r="J3866" s="1371"/>
      <c r="K3866" s="1371"/>
      <c r="L3866" s="1372"/>
      <c r="M3866" s="1146"/>
      <c r="N3866" s="1103"/>
      <c r="O3866"/>
      <c r="P3866" s="159"/>
      <c r="Q3866" s="147"/>
      <c r="R3866" s="149"/>
    </row>
    <row r="3867" spans="1:24" ht="30" customHeight="1">
      <c r="A3867" s="1406" t="s">
        <v>325</v>
      </c>
      <c r="B3867" s="1407"/>
      <c r="C3867" s="1408"/>
      <c r="D3867" s="1270" t="s">
        <v>326</v>
      </c>
      <c r="E3867" s="1371"/>
      <c r="F3867" s="1371"/>
      <c r="G3867" s="1371"/>
      <c r="H3867" s="1371"/>
      <c r="I3867" s="1371"/>
      <c r="J3867" s="1371"/>
      <c r="K3867" s="1371"/>
      <c r="L3867" s="1372"/>
      <c r="M3867" s="1146"/>
      <c r="N3867" s="1103"/>
      <c r="O3867"/>
      <c r="P3867" s="159"/>
      <c r="Q3867" s="147"/>
      <c r="R3867" s="149"/>
    </row>
    <row r="3868" spans="1:24" ht="30" customHeight="1" thickBot="1">
      <c r="A3868" s="1602" t="s">
        <v>327</v>
      </c>
      <c r="B3868" s="1603"/>
      <c r="C3868" s="1604"/>
      <c r="D3868" s="1336" t="s">
        <v>2909</v>
      </c>
      <c r="E3868" s="1315"/>
      <c r="F3868" s="1315"/>
      <c r="G3868" s="1315"/>
      <c r="H3868" s="1315"/>
      <c r="I3868" s="1315"/>
      <c r="J3868" s="1315"/>
      <c r="K3868" s="1315"/>
      <c r="L3868" s="1316"/>
      <c r="M3868" s="1146"/>
      <c r="N3868" s="1103"/>
      <c r="O3868"/>
      <c r="P3868" s="159"/>
      <c r="Q3868" s="147"/>
      <c r="R3868" s="149"/>
    </row>
    <row r="3869" spans="1:24" ht="30" customHeight="1" thickBot="1">
      <c r="A3869" s="1165"/>
      <c r="B3869" s="1166"/>
      <c r="C3869" s="1166"/>
      <c r="D3869" s="1166"/>
      <c r="E3869" s="1166"/>
      <c r="F3869" s="1166"/>
      <c r="G3869" s="1166"/>
      <c r="H3869" s="1166"/>
      <c r="I3869" s="1166"/>
      <c r="J3869" s="1166"/>
      <c r="K3869" s="1166"/>
      <c r="L3869" s="1167"/>
      <c r="M3869" s="1146"/>
      <c r="N3869" s="1103"/>
      <c r="O3869"/>
      <c r="P3869" s="159"/>
      <c r="Q3869" s="147"/>
      <c r="R3869" s="149"/>
    </row>
    <row r="3870" spans="1:24" ht="30" customHeight="1">
      <c r="A3870" s="81" t="s">
        <v>280</v>
      </c>
      <c r="B3870" s="82">
        <v>8422</v>
      </c>
      <c r="C3870" s="1228" t="s">
        <v>2078</v>
      </c>
      <c r="D3870" s="1229"/>
      <c r="E3870" s="74" t="s">
        <v>282</v>
      </c>
      <c r="F3870" s="75" t="s">
        <v>227</v>
      </c>
      <c r="G3870" s="58" t="s">
        <v>290</v>
      </c>
      <c r="H3870" s="104">
        <v>2630</v>
      </c>
      <c r="I3870" s="74" t="s">
        <v>283</v>
      </c>
      <c r="J3870" s="1199" t="s">
        <v>2569</v>
      </c>
      <c r="K3870" s="1230"/>
      <c r="L3870" s="1231"/>
      <c r="M3870" s="1146"/>
      <c r="N3870" s="1103"/>
      <c r="O3870" s="38"/>
      <c r="P3870" s="159"/>
      <c r="Q3870" s="147"/>
      <c r="R3870" s="149"/>
    </row>
    <row r="3871" spans="1:24" ht="30" customHeight="1">
      <c r="A3871" s="77" t="s">
        <v>293</v>
      </c>
      <c r="B3871" s="1232" t="s">
        <v>284</v>
      </c>
      <c r="C3871" s="1232"/>
      <c r="D3871" s="1232"/>
      <c r="E3871" s="96" t="s">
        <v>1907</v>
      </c>
      <c r="F3871" s="77" t="s">
        <v>2079</v>
      </c>
      <c r="G3871" s="1365" t="s">
        <v>332</v>
      </c>
      <c r="H3871" s="1366"/>
      <c r="I3871" s="1233" t="s">
        <v>426</v>
      </c>
      <c r="J3871" s="1234"/>
      <c r="K3871" s="1303" t="s">
        <v>297</v>
      </c>
      <c r="L3871" s="1304"/>
      <c r="M3871" s="1146"/>
      <c r="N3871" s="1103"/>
      <c r="O3871"/>
      <c r="P3871" s="159"/>
      <c r="Q3871" s="147"/>
      <c r="R3871" s="149"/>
    </row>
    <row r="3872" spans="1:24" ht="30" customHeight="1">
      <c r="A3872" s="20">
        <v>84472</v>
      </c>
      <c r="B3872" s="1179" t="s">
        <v>2080</v>
      </c>
      <c r="C3872" s="1180"/>
      <c r="D3872" s="1181"/>
      <c r="E3872" s="153">
        <v>57900</v>
      </c>
      <c r="F3872" s="316">
        <v>1000</v>
      </c>
      <c r="G3872" s="350">
        <v>1440</v>
      </c>
      <c r="H3872" s="267" t="s">
        <v>2813</v>
      </c>
      <c r="I3872" s="1546">
        <f>+'2019 MILCON Inflation Table'!$F$18</f>
        <v>0.94232233454704462</v>
      </c>
      <c r="J3872" s="1547"/>
      <c r="K3872" s="106">
        <f>+E3872/G3872*I3872</f>
        <v>37.889210534912422</v>
      </c>
      <c r="L3872" s="97" t="s">
        <v>227</v>
      </c>
      <c r="M3872" s="1146"/>
      <c r="N3872" s="1103"/>
      <c r="O3872"/>
      <c r="P3872" s="159"/>
      <c r="Q3872" s="147"/>
      <c r="R3872" s="149"/>
      <c r="T3872" s="38"/>
      <c r="U3872" s="38"/>
      <c r="V3872" s="38"/>
      <c r="W3872" s="38"/>
      <c r="X3872" s="38"/>
    </row>
    <row r="3873" spans="1:24" s="38" customFormat="1" ht="30" customHeight="1">
      <c r="A3873" s="20">
        <v>84472</v>
      </c>
      <c r="B3873" s="1179" t="s">
        <v>2081</v>
      </c>
      <c r="C3873" s="1180"/>
      <c r="D3873" s="1181"/>
      <c r="E3873" s="153">
        <v>76100</v>
      </c>
      <c r="F3873" s="316">
        <v>2000</v>
      </c>
      <c r="G3873" s="350">
        <f>+G3872*2</f>
        <v>2880</v>
      </c>
      <c r="H3873" s="267" t="s">
        <v>2813</v>
      </c>
      <c r="I3873" s="1546">
        <f>+'2019 MILCON Inflation Table'!$F$18</f>
        <v>0.94232233454704462</v>
      </c>
      <c r="J3873" s="1547"/>
      <c r="K3873" s="106">
        <f>+E3873/G3873*I3873</f>
        <v>24.899558909385448</v>
      </c>
      <c r="L3873" s="97" t="s">
        <v>227</v>
      </c>
      <c r="M3873" s="1146"/>
      <c r="N3873" s="1103"/>
      <c r="O3873"/>
      <c r="P3873" s="159"/>
      <c r="Q3873" s="147"/>
      <c r="R3873" s="149"/>
      <c r="T3873"/>
      <c r="U3873"/>
      <c r="V3873"/>
      <c r="W3873"/>
      <c r="X3873"/>
    </row>
    <row r="3874" spans="1:24" ht="30" customHeight="1">
      <c r="A3874" s="20">
        <v>84472</v>
      </c>
      <c r="B3874" s="1179" t="s">
        <v>2082</v>
      </c>
      <c r="C3874" s="1180"/>
      <c r="D3874" s="1181"/>
      <c r="E3874" s="153">
        <v>36850</v>
      </c>
      <c r="F3874" s="316">
        <v>1000</v>
      </c>
      <c r="G3874" s="350">
        <v>1440</v>
      </c>
      <c r="H3874" s="267" t="s">
        <v>2813</v>
      </c>
      <c r="I3874" s="1546">
        <f>+'2019 MILCON Inflation Table'!$F$18</f>
        <v>0.94232233454704462</v>
      </c>
      <c r="J3874" s="1547"/>
      <c r="K3874" s="106">
        <f>+E3874/G3874*I3874</f>
        <v>24.114290297262912</v>
      </c>
      <c r="L3874" s="97" t="s">
        <v>227</v>
      </c>
      <c r="M3874" s="1146"/>
      <c r="N3874" s="1103"/>
      <c r="O3874" s="34"/>
      <c r="P3874" s="159"/>
      <c r="Q3874" s="147"/>
      <c r="R3874" s="149"/>
    </row>
    <row r="3875" spans="1:24" ht="30" customHeight="1">
      <c r="A3875" s="20"/>
      <c r="B3875" s="207"/>
      <c r="C3875" s="208"/>
      <c r="D3875" s="155"/>
      <c r="E3875" s="287"/>
      <c r="F3875" s="527"/>
      <c r="G3875" s="272"/>
      <c r="H3875" s="267"/>
      <c r="I3875" s="530"/>
      <c r="J3875" s="339" t="s">
        <v>311</v>
      </c>
      <c r="K3875" s="106">
        <f>AVERAGE(K3872:K3874)</f>
        <v>28.967686580520262</v>
      </c>
      <c r="L3875" s="97" t="s">
        <v>227</v>
      </c>
      <c r="M3875" s="1146"/>
      <c r="N3875" s="1103"/>
      <c r="O3875" s="34"/>
      <c r="P3875" s="159"/>
      <c r="Q3875" s="147"/>
      <c r="R3875" s="149"/>
    </row>
    <row r="3876" spans="1:24" ht="30" customHeight="1" thickBot="1">
      <c r="A3876" s="20"/>
      <c r="B3876" s="1179"/>
      <c r="C3876" s="1180"/>
      <c r="D3876" s="1181"/>
      <c r="E3876" s="181"/>
      <c r="F3876" s="338"/>
      <c r="G3876" s="181"/>
      <c r="H3876" s="339"/>
      <c r="I3876" s="18"/>
      <c r="J3876" s="79" t="s">
        <v>289</v>
      </c>
      <c r="K3876" s="107">
        <f>+K3875</f>
        <v>28.967686580520262</v>
      </c>
      <c r="L3876" s="97" t="s">
        <v>227</v>
      </c>
      <c r="M3876" s="1146"/>
      <c r="N3876" s="1103"/>
      <c r="O3876"/>
      <c r="P3876" s="159"/>
      <c r="Q3876" s="147"/>
      <c r="R3876" s="149"/>
    </row>
    <row r="3877" spans="1:24" ht="30" customHeight="1" thickBot="1">
      <c r="A3877" s="1165"/>
      <c r="B3877" s="1166"/>
      <c r="C3877" s="1166"/>
      <c r="D3877" s="1166"/>
      <c r="E3877" s="1166"/>
      <c r="F3877" s="1166"/>
      <c r="G3877" s="1166"/>
      <c r="H3877" s="1166"/>
      <c r="I3877" s="1166"/>
      <c r="J3877" s="1166"/>
      <c r="K3877" s="1166"/>
      <c r="L3877" s="1167"/>
      <c r="M3877" s="1146"/>
      <c r="N3877" s="1103"/>
      <c r="O3877"/>
      <c r="P3877" s="283"/>
      <c r="Q3877" s="282"/>
      <c r="R3877" s="284"/>
    </row>
    <row r="3878" spans="1:24" ht="30" customHeight="1">
      <c r="A3878" s="27" t="s">
        <v>280</v>
      </c>
      <c r="B3878" s="28">
        <v>8431</v>
      </c>
      <c r="C3878" s="1215" t="s">
        <v>2083</v>
      </c>
      <c r="D3878" s="1216"/>
      <c r="E3878" s="30" t="s">
        <v>282</v>
      </c>
      <c r="F3878" s="31" t="s">
        <v>7</v>
      </c>
      <c r="G3878" s="58" t="s">
        <v>290</v>
      </c>
      <c r="H3878" s="104">
        <v>975</v>
      </c>
      <c r="I3878" s="30" t="s">
        <v>283</v>
      </c>
      <c r="J3878" s="1199" t="s">
        <v>2569</v>
      </c>
      <c r="K3878" s="1230"/>
      <c r="L3878" s="1231"/>
      <c r="M3878" s="1146"/>
      <c r="N3878" s="1103"/>
      <c r="O3878"/>
      <c r="P3878" s="283"/>
      <c r="Q3878" s="282"/>
      <c r="R3878" s="284"/>
    </row>
    <row r="3879" spans="1:24" ht="30" customHeight="1">
      <c r="A3879" s="35" t="s">
        <v>293</v>
      </c>
      <c r="B3879" s="1299" t="s">
        <v>284</v>
      </c>
      <c r="C3879" s="1299"/>
      <c r="D3879" s="1299"/>
      <c r="E3879" s="310" t="s">
        <v>1907</v>
      </c>
      <c r="F3879" s="35" t="s">
        <v>2079</v>
      </c>
      <c r="G3879" s="1413" t="s">
        <v>332</v>
      </c>
      <c r="H3879" s="1414"/>
      <c r="I3879" s="1233" t="s">
        <v>426</v>
      </c>
      <c r="J3879" s="1234"/>
      <c r="K3879" s="1303" t="s">
        <v>297</v>
      </c>
      <c r="L3879" s="1304"/>
      <c r="M3879" s="1146"/>
      <c r="N3879" s="1100"/>
      <c r="O3879"/>
      <c r="P3879" s="159"/>
      <c r="Q3879" s="147"/>
      <c r="R3879" s="149"/>
    </row>
    <row r="3880" spans="1:24" ht="30" customHeight="1">
      <c r="A3880" s="45">
        <v>84472</v>
      </c>
      <c r="B3880" s="1188" t="s">
        <v>2084</v>
      </c>
      <c r="C3880" s="1189"/>
      <c r="D3880" s="1190"/>
      <c r="E3880" s="153">
        <v>58460</v>
      </c>
      <c r="F3880" s="598">
        <v>500</v>
      </c>
      <c r="G3880" s="598">
        <v>500</v>
      </c>
      <c r="H3880" s="757"/>
      <c r="I3880" s="1546">
        <f>+'2019 MILCON Inflation Table'!$F$18</f>
        <v>0.94232233454704462</v>
      </c>
      <c r="J3880" s="1547"/>
      <c r="K3880" s="94">
        <f>+E3880/F3880*I3880</f>
        <v>110.17632735524046</v>
      </c>
      <c r="L3880" s="48" t="s">
        <v>7</v>
      </c>
      <c r="M3880" s="1146"/>
      <c r="N3880" s="1103"/>
      <c r="O3880" s="38"/>
      <c r="P3880" s="159"/>
      <c r="Q3880" s="147"/>
      <c r="R3880" s="149"/>
    </row>
    <row r="3881" spans="1:24" ht="30" customHeight="1">
      <c r="A3881" s="45">
        <v>84472</v>
      </c>
      <c r="B3881" s="1188" t="s">
        <v>2085</v>
      </c>
      <c r="C3881" s="1189"/>
      <c r="D3881" s="1190"/>
      <c r="E3881" s="153">
        <v>57900</v>
      </c>
      <c r="F3881" s="598">
        <v>1000</v>
      </c>
      <c r="G3881" s="598">
        <v>1000</v>
      </c>
      <c r="H3881" s="757"/>
      <c r="I3881" s="1546">
        <f>+'2019 MILCON Inflation Table'!$F$18</f>
        <v>0.94232233454704462</v>
      </c>
      <c r="J3881" s="1547"/>
      <c r="K3881" s="94">
        <f>+E3881/F3881*I3881</f>
        <v>54.560463170273884</v>
      </c>
      <c r="L3881" s="48" t="s">
        <v>7</v>
      </c>
      <c r="M3881" s="1146"/>
      <c r="N3881" s="1103"/>
      <c r="O3881"/>
      <c r="P3881" s="159"/>
      <c r="Q3881" s="147"/>
      <c r="R3881" s="149"/>
    </row>
    <row r="3882" spans="1:24" ht="30" customHeight="1">
      <c r="A3882" s="45">
        <v>84472</v>
      </c>
      <c r="B3882" s="1188" t="s">
        <v>2086</v>
      </c>
      <c r="C3882" s="1189"/>
      <c r="D3882" s="1190"/>
      <c r="E3882" s="714">
        <v>76100</v>
      </c>
      <c r="F3882" s="598">
        <v>2000</v>
      </c>
      <c r="G3882" s="598">
        <v>2000</v>
      </c>
      <c r="H3882" s="757"/>
      <c r="I3882" s="1546">
        <f>+'2019 MILCON Inflation Table'!$F$18</f>
        <v>0.94232233454704462</v>
      </c>
      <c r="J3882" s="1547"/>
      <c r="K3882" s="94">
        <f>+E3882/F3882*I3882</f>
        <v>35.855364829515047</v>
      </c>
      <c r="L3882" s="48" t="s">
        <v>7</v>
      </c>
      <c r="M3882" s="1146"/>
      <c r="N3882" s="1103"/>
      <c r="O3882" s="34"/>
      <c r="P3882" s="159"/>
      <c r="Q3882" s="147"/>
      <c r="R3882" s="149"/>
      <c r="T3882" s="38"/>
      <c r="U3882" s="38"/>
      <c r="V3882" s="38"/>
      <c r="W3882" s="38"/>
      <c r="X3882" s="38"/>
    </row>
    <row r="3883" spans="1:24" s="38" customFormat="1" ht="30" customHeight="1">
      <c r="A3883" s="45">
        <v>84472</v>
      </c>
      <c r="B3883" s="1188" t="s">
        <v>2087</v>
      </c>
      <c r="C3883" s="1189"/>
      <c r="D3883" s="1190"/>
      <c r="E3883" s="23">
        <v>36850</v>
      </c>
      <c r="F3883" s="598">
        <v>1000</v>
      </c>
      <c r="G3883" s="598">
        <v>1000</v>
      </c>
      <c r="H3883" s="757"/>
      <c r="I3883" s="1546">
        <f>+'2019 MILCON Inflation Table'!$F$18</f>
        <v>0.94232233454704462</v>
      </c>
      <c r="J3883" s="1547"/>
      <c r="K3883" s="94">
        <f>+E3883/F3883*I3883</f>
        <v>34.724578028058595</v>
      </c>
      <c r="L3883" s="48" t="s">
        <v>7</v>
      </c>
      <c r="M3883" s="1146"/>
      <c r="N3883" s="282"/>
      <c r="O3883" s="34"/>
      <c r="P3883" s="159"/>
      <c r="Q3883" s="147"/>
      <c r="R3883" s="149"/>
      <c r="T3883"/>
      <c r="U3883"/>
      <c r="V3883"/>
      <c r="W3883"/>
      <c r="X3883"/>
    </row>
    <row r="3884" spans="1:24" ht="30" customHeight="1" thickBot="1">
      <c r="A3884" s="45"/>
      <c r="B3884" s="1383"/>
      <c r="C3884" s="1384"/>
      <c r="D3884" s="1385"/>
      <c r="E3884" s="70"/>
      <c r="F3884" s="359"/>
      <c r="G3884" s="70"/>
      <c r="H3884" s="312" t="s">
        <v>311</v>
      </c>
      <c r="I3884" s="46"/>
      <c r="J3884" s="37" t="s">
        <v>289</v>
      </c>
      <c r="K3884" s="87">
        <f>AVERAGE(K3880:K3883)</f>
        <v>58.829183345772002</v>
      </c>
      <c r="L3884" s="48" t="s">
        <v>7</v>
      </c>
      <c r="M3884" s="1146"/>
      <c r="N3884" s="282"/>
      <c r="O3884"/>
      <c r="P3884" s="159"/>
      <c r="Q3884" s="147"/>
      <c r="R3884" s="149"/>
    </row>
    <row r="3885" spans="1:24" ht="30" customHeight="1" thickBot="1">
      <c r="A3885" s="1165"/>
      <c r="B3885" s="1166"/>
      <c r="C3885" s="1166"/>
      <c r="D3885" s="1166"/>
      <c r="E3885" s="1166"/>
      <c r="F3885" s="1166"/>
      <c r="G3885" s="1166"/>
      <c r="H3885" s="1166"/>
      <c r="I3885" s="1166"/>
      <c r="J3885" s="1166"/>
      <c r="K3885" s="1166"/>
      <c r="L3885" s="1167"/>
      <c r="M3885" s="1146"/>
      <c r="N3885" s="1103"/>
      <c r="O3885"/>
      <c r="P3885" s="283"/>
      <c r="Q3885" s="282"/>
      <c r="R3885" s="284"/>
    </row>
    <row r="3886" spans="1:24" ht="30" customHeight="1">
      <c r="A3886" s="27" t="s">
        <v>280</v>
      </c>
      <c r="B3886" s="28">
        <v>8432</v>
      </c>
      <c r="C3886" s="1393" t="s">
        <v>2088</v>
      </c>
      <c r="D3886" s="1394"/>
      <c r="E3886" s="74" t="s">
        <v>282</v>
      </c>
      <c r="F3886" s="75" t="s">
        <v>6</v>
      </c>
      <c r="G3886" s="58" t="s">
        <v>290</v>
      </c>
      <c r="H3886" s="76">
        <v>6419</v>
      </c>
      <c r="I3886" s="74" t="s">
        <v>283</v>
      </c>
      <c r="J3886" s="1199" t="s">
        <v>2529</v>
      </c>
      <c r="K3886" s="1199"/>
      <c r="L3886" s="1200"/>
      <c r="M3886" s="1146"/>
      <c r="N3886" s="1103"/>
      <c r="O3886"/>
      <c r="P3886" s="283"/>
      <c r="Q3886" s="282"/>
      <c r="R3886" s="284"/>
    </row>
    <row r="3887" spans="1:24" ht="30" customHeight="1">
      <c r="A3887" s="37" t="s">
        <v>304</v>
      </c>
      <c r="B3887" s="1300" t="s">
        <v>330</v>
      </c>
      <c r="C3887" s="1301"/>
      <c r="D3887" s="1302"/>
      <c r="E3887" s="150" t="s">
        <v>295</v>
      </c>
      <c r="F3887" s="150" t="s">
        <v>331</v>
      </c>
      <c r="G3887" s="1204" t="s">
        <v>332</v>
      </c>
      <c r="H3887" s="1205"/>
      <c r="I3887" s="77" t="s">
        <v>305</v>
      </c>
      <c r="J3887" s="77"/>
      <c r="K3887" s="1303" t="s">
        <v>297</v>
      </c>
      <c r="L3887" s="1304"/>
      <c r="M3887" s="1146"/>
      <c r="N3887" s="1103"/>
      <c r="O3887"/>
      <c r="P3887" s="159"/>
      <c r="Q3887" s="147"/>
      <c r="R3887" s="149"/>
    </row>
    <row r="3888" spans="1:24" ht="30" customHeight="1">
      <c r="A3888" s="45" t="s">
        <v>342</v>
      </c>
      <c r="B3888" s="1188" t="s">
        <v>2810</v>
      </c>
      <c r="C3888" s="1189"/>
      <c r="D3888" s="1190"/>
      <c r="E3888" s="335">
        <v>25.6</v>
      </c>
      <c r="F3888" s="22" t="s">
        <v>6</v>
      </c>
      <c r="G3888" s="780"/>
      <c r="H3888" s="333"/>
      <c r="I3888" s="20">
        <v>1.05</v>
      </c>
      <c r="J3888" s="22"/>
      <c r="K3888" s="23">
        <f>+E3888*I3888</f>
        <v>26.880000000000003</v>
      </c>
      <c r="L3888" s="22" t="s">
        <v>6</v>
      </c>
      <c r="M3888" s="1146"/>
      <c r="N3888" s="1103"/>
      <c r="O3888" s="38"/>
    </row>
    <row r="3889" spans="1:24" ht="30" customHeight="1">
      <c r="A3889" s="45" t="s">
        <v>342</v>
      </c>
      <c r="B3889" s="1188" t="s">
        <v>2815</v>
      </c>
      <c r="C3889" s="1189"/>
      <c r="D3889" s="1190"/>
      <c r="E3889" s="335">
        <v>41.18</v>
      </c>
      <c r="F3889" s="22" t="s">
        <v>6</v>
      </c>
      <c r="G3889" s="780"/>
      <c r="H3889" s="333"/>
      <c r="I3889" s="20">
        <v>1.05</v>
      </c>
      <c r="J3889" s="22"/>
      <c r="K3889" s="23">
        <f>+E3889*I3889</f>
        <v>43.239000000000004</v>
      </c>
      <c r="L3889" s="22" t="s">
        <v>6</v>
      </c>
      <c r="M3889" s="1146"/>
      <c r="N3889" s="1103"/>
      <c r="O3889"/>
    </row>
    <row r="3890" spans="1:24" ht="30" customHeight="1">
      <c r="A3890" s="45"/>
      <c r="B3890" s="422"/>
      <c r="C3890" s="423"/>
      <c r="D3890" s="424"/>
      <c r="E3890" s="335"/>
      <c r="F3890" s="22"/>
      <c r="G3890" s="780"/>
      <c r="H3890" s="333"/>
      <c r="I3890" s="20"/>
      <c r="J3890" s="22" t="s">
        <v>311</v>
      </c>
      <c r="K3890" s="23">
        <f>AVERAGE(K3888:K3889)</f>
        <v>35.0595</v>
      </c>
      <c r="L3890" s="22" t="s">
        <v>6</v>
      </c>
      <c r="M3890" s="1146"/>
      <c r="N3890" s="1103"/>
      <c r="O3890" s="25"/>
      <c r="T3890" s="38"/>
      <c r="U3890" s="38"/>
      <c r="V3890" s="38"/>
      <c r="W3890" s="38"/>
      <c r="X3890" s="38"/>
    </row>
    <row r="3891" spans="1:24" s="38" customFormat="1" ht="30" customHeight="1">
      <c r="A3891" s="45" t="s">
        <v>342</v>
      </c>
      <c r="B3891" s="1383" t="s">
        <v>2814</v>
      </c>
      <c r="C3891" s="1384"/>
      <c r="D3891" s="1385"/>
      <c r="E3891" s="335">
        <v>10.5</v>
      </c>
      <c r="F3891" s="22" t="s">
        <v>6</v>
      </c>
      <c r="G3891" s="783"/>
      <c r="H3891" s="333"/>
      <c r="I3891" s="20">
        <v>1.05</v>
      </c>
      <c r="J3891" s="22"/>
      <c r="K3891" s="23">
        <f>+E3891*I3891</f>
        <v>11.025</v>
      </c>
      <c r="L3891" s="22" t="s">
        <v>6</v>
      </c>
      <c r="M3891" s="1146"/>
      <c r="N3891" s="282"/>
      <c r="O3891" s="25"/>
      <c r="T3891"/>
      <c r="U3891"/>
      <c r="V3891"/>
      <c r="W3891"/>
      <c r="X3891"/>
    </row>
    <row r="3892" spans="1:24" ht="30" customHeight="1">
      <c r="A3892" s="652"/>
      <c r="B3892" s="1386" t="s">
        <v>2089</v>
      </c>
      <c r="C3892" s="1386"/>
      <c r="D3892" s="1386"/>
      <c r="E3892" s="153"/>
      <c r="F3892" s="20"/>
      <c r="G3892" s="20"/>
      <c r="H3892" s="20"/>
      <c r="I3892" s="20"/>
      <c r="J3892" s="20" t="s">
        <v>346</v>
      </c>
      <c r="K3892" s="153">
        <f>+K3891+K3890</f>
        <v>46.084499999999998</v>
      </c>
      <c r="L3892" s="20" t="s">
        <v>6</v>
      </c>
      <c r="M3892" s="1146"/>
      <c r="N3892" s="742"/>
      <c r="O3892" s="25"/>
    </row>
    <row r="3893" spans="1:24" ht="30" customHeight="1">
      <c r="A3893" s="45"/>
      <c r="B3893" s="189"/>
      <c r="C3893" s="189"/>
      <c r="D3893" s="189"/>
      <c r="E3893" s="153"/>
      <c r="F3893" s="1174" t="s">
        <v>308</v>
      </c>
      <c r="G3893" s="1208" t="s">
        <v>309</v>
      </c>
      <c r="H3893" s="1208"/>
      <c r="I3893" s="1208"/>
      <c r="J3893" s="1208"/>
      <c r="K3893" s="123">
        <v>1.06</v>
      </c>
      <c r="L3893" s="10"/>
      <c r="M3893" s="1146"/>
      <c r="N3893" s="1103"/>
      <c r="O3893"/>
      <c r="P3893" s="25"/>
    </row>
    <row r="3894" spans="1:24" ht="30" customHeight="1">
      <c r="A3894" s="45"/>
      <c r="B3894" s="189"/>
      <c r="C3894" s="189"/>
      <c r="D3894" s="189"/>
      <c r="E3894" s="153"/>
      <c r="F3894" s="1175"/>
      <c r="G3894" s="1209" t="s">
        <v>310</v>
      </c>
      <c r="H3894" s="1209"/>
      <c r="I3894" s="1209"/>
      <c r="J3894" s="1209"/>
      <c r="K3894" s="123">
        <v>1.07</v>
      </c>
      <c r="L3894" s="10"/>
      <c r="M3894" s="1146"/>
      <c r="N3894" s="1103"/>
      <c r="O3894"/>
      <c r="P3894" s="25"/>
    </row>
    <row r="3895" spans="1:24" ht="30" customHeight="1">
      <c r="A3895" s="45"/>
      <c r="B3895" s="45"/>
      <c r="C3895" s="46"/>
      <c r="D3895" s="46"/>
      <c r="E3895" s="18"/>
      <c r="F3895" s="18"/>
      <c r="G3895" s="18"/>
      <c r="H3895" s="18"/>
      <c r="I3895" s="18"/>
      <c r="J3895" s="20" t="s">
        <v>289</v>
      </c>
      <c r="K3895" s="23">
        <f>+K3892*K3893/K3894</f>
        <v>45.653803738317755</v>
      </c>
      <c r="L3895" s="20" t="s">
        <v>6</v>
      </c>
      <c r="M3895" s="1146"/>
      <c r="N3895" s="1103"/>
      <c r="O3895"/>
      <c r="P3895" s="25"/>
    </row>
    <row r="3896" spans="1:24" ht="30" customHeight="1" thickBot="1">
      <c r="A3896" s="45"/>
      <c r="B3896" s="45"/>
      <c r="C3896" s="46"/>
      <c r="D3896" s="46"/>
      <c r="E3896" s="18"/>
      <c r="F3896" s="18"/>
      <c r="G3896" s="160" t="s">
        <v>312</v>
      </c>
      <c r="H3896" s="18"/>
      <c r="I3896" s="18"/>
      <c r="J3896" s="139">
        <f>VLOOKUP(B3886,'Mil Cost Premiums for RUCs'!$A$4:$R$266,18,FALSE)</f>
        <v>1.0905505199999999</v>
      </c>
      <c r="K3896" s="23">
        <f>+K3895*J3896</f>
        <v>49.787779406800368</v>
      </c>
      <c r="L3896" s="20" t="s">
        <v>6</v>
      </c>
      <c r="M3896" s="1146"/>
      <c r="O3896" s="38"/>
      <c r="P3896" s="159"/>
      <c r="Q3896" s="147"/>
      <c r="R3896" s="149"/>
    </row>
    <row r="3897" spans="1:24" ht="30" customHeight="1" thickBot="1">
      <c r="A3897" s="1165"/>
      <c r="B3897" s="1166"/>
      <c r="C3897" s="1166"/>
      <c r="D3897" s="1166"/>
      <c r="E3897" s="1166"/>
      <c r="F3897" s="1166"/>
      <c r="G3897" s="1166"/>
      <c r="H3897" s="1166"/>
      <c r="I3897" s="1166"/>
      <c r="J3897" s="1166"/>
      <c r="K3897" s="1166"/>
      <c r="L3897" s="1167"/>
      <c r="M3897" s="1146"/>
      <c r="N3897" s="193"/>
      <c r="O3897"/>
      <c r="P3897" s="159"/>
      <c r="Q3897" s="147"/>
      <c r="R3897" s="149"/>
    </row>
    <row r="3898" spans="1:24" ht="30" customHeight="1">
      <c r="A3898" s="27" t="s">
        <v>280</v>
      </c>
      <c r="B3898" s="28">
        <v>8434</v>
      </c>
      <c r="C3898" s="1215" t="s">
        <v>2090</v>
      </c>
      <c r="D3898" s="1216"/>
      <c r="E3898" s="30" t="s">
        <v>282</v>
      </c>
      <c r="F3898" s="31" t="s">
        <v>227</v>
      </c>
      <c r="G3898" s="58" t="s">
        <v>290</v>
      </c>
      <c r="H3898" s="104">
        <v>2674</v>
      </c>
      <c r="I3898" s="30" t="s">
        <v>283</v>
      </c>
      <c r="J3898" s="1199" t="s">
        <v>2569</v>
      </c>
      <c r="K3898" s="1230"/>
      <c r="L3898" s="1231"/>
      <c r="M3898" s="1146"/>
      <c r="O3898" s="34"/>
      <c r="P3898" s="159"/>
      <c r="Q3898" s="147"/>
      <c r="R3898" s="149"/>
      <c r="T3898" s="38"/>
      <c r="U3898" s="38"/>
      <c r="V3898" s="38"/>
      <c r="W3898" s="38"/>
      <c r="X3898" s="38"/>
    </row>
    <row r="3899" spans="1:24" s="38" customFormat="1" ht="30" customHeight="1">
      <c r="A3899" s="35" t="s">
        <v>293</v>
      </c>
      <c r="B3899" s="1299" t="s">
        <v>284</v>
      </c>
      <c r="C3899" s="1299"/>
      <c r="D3899" s="1299"/>
      <c r="E3899" s="310" t="s">
        <v>1907</v>
      </c>
      <c r="F3899" s="35" t="s">
        <v>2079</v>
      </c>
      <c r="G3899" s="1413" t="s">
        <v>332</v>
      </c>
      <c r="H3899" s="1414"/>
      <c r="I3899" s="1233" t="s">
        <v>2515</v>
      </c>
      <c r="J3899" s="1234"/>
      <c r="K3899" s="1303" t="s">
        <v>297</v>
      </c>
      <c r="L3899" s="1304"/>
      <c r="M3899" s="1146"/>
      <c r="N3899" s="25"/>
      <c r="O3899" s="34"/>
      <c r="P3899" s="159"/>
      <c r="Q3899" s="147"/>
      <c r="R3899" s="149"/>
      <c r="T3899"/>
      <c r="U3899"/>
      <c r="V3899"/>
      <c r="W3899"/>
      <c r="X3899"/>
    </row>
    <row r="3900" spans="1:24" ht="30" customHeight="1">
      <c r="A3900" s="45">
        <v>84472</v>
      </c>
      <c r="B3900" s="1188" t="s">
        <v>2085</v>
      </c>
      <c r="C3900" s="1189"/>
      <c r="D3900" s="1190"/>
      <c r="E3900" s="153">
        <v>57900</v>
      </c>
      <c r="F3900" s="598">
        <v>1000</v>
      </c>
      <c r="G3900" s="598">
        <v>1000</v>
      </c>
      <c r="H3900" s="757"/>
      <c r="I3900" s="1546">
        <f>+'2019 MILCON Inflation Table'!$F$18</f>
        <v>0.94232233454704462</v>
      </c>
      <c r="J3900" s="1547"/>
      <c r="K3900" s="94">
        <f>+E3900/F3900*I3900</f>
        <v>54.560463170273884</v>
      </c>
      <c r="L3900" s="48" t="s">
        <v>227</v>
      </c>
      <c r="M3900" s="1146"/>
      <c r="O3900"/>
      <c r="P3900" s="159"/>
      <c r="Q3900" s="147"/>
      <c r="R3900" s="149"/>
    </row>
    <row r="3901" spans="1:24" ht="30" customHeight="1">
      <c r="A3901" s="45">
        <v>84472</v>
      </c>
      <c r="B3901" s="1188" t="s">
        <v>2086</v>
      </c>
      <c r="C3901" s="1189"/>
      <c r="D3901" s="1190"/>
      <c r="E3901" s="714">
        <v>76100</v>
      </c>
      <c r="F3901" s="598">
        <v>2000</v>
      </c>
      <c r="G3901" s="316">
        <v>2000</v>
      </c>
      <c r="H3901" s="757"/>
      <c r="I3901" s="1546">
        <f>+'2019 MILCON Inflation Table'!$F$18</f>
        <v>0.94232233454704462</v>
      </c>
      <c r="J3901" s="1547"/>
      <c r="K3901" s="94">
        <f>+E3901/F3901*I3901</f>
        <v>35.855364829515047</v>
      </c>
      <c r="L3901" s="48" t="s">
        <v>227</v>
      </c>
      <c r="M3901" s="1146"/>
      <c r="O3901" s="743"/>
      <c r="P3901" s="283"/>
      <c r="Q3901" s="282"/>
      <c r="R3901" s="284"/>
    </row>
    <row r="3902" spans="1:24" ht="30" customHeight="1">
      <c r="A3902" s="45">
        <v>84472</v>
      </c>
      <c r="B3902" s="1188" t="s">
        <v>2087</v>
      </c>
      <c r="C3902" s="1189"/>
      <c r="D3902" s="1190"/>
      <c r="E3902" s="23">
        <v>36850</v>
      </c>
      <c r="F3902" s="598">
        <v>1000</v>
      </c>
      <c r="G3902" s="598">
        <v>1000</v>
      </c>
      <c r="H3902" s="757"/>
      <c r="I3902" s="1546">
        <f>+'2019 MILCON Inflation Table'!$F$18</f>
        <v>0.94232233454704462</v>
      </c>
      <c r="J3902" s="1547"/>
      <c r="K3902" s="94">
        <f>+E3902/F3902*I3902</f>
        <v>34.724578028058595</v>
      </c>
      <c r="L3902" s="48" t="s">
        <v>227</v>
      </c>
      <c r="M3902" s="1146"/>
      <c r="P3902" s="283"/>
      <c r="Q3902" s="282"/>
      <c r="R3902" s="284"/>
    </row>
    <row r="3903" spans="1:24" ht="30" customHeight="1" thickBot="1">
      <c r="A3903" s="45"/>
      <c r="B3903" s="1383"/>
      <c r="C3903" s="1384"/>
      <c r="D3903" s="1385"/>
      <c r="E3903" s="70"/>
      <c r="F3903" s="359"/>
      <c r="G3903" s="70"/>
      <c r="H3903" s="312" t="s">
        <v>311</v>
      </c>
      <c r="I3903" s="46"/>
      <c r="J3903" s="37" t="s">
        <v>289</v>
      </c>
      <c r="K3903" s="87">
        <f>AVERAGE(K3900:K3902)</f>
        <v>41.713468675949173</v>
      </c>
      <c r="L3903" s="48" t="s">
        <v>227</v>
      </c>
      <c r="M3903" s="1146"/>
      <c r="P3903" s="159"/>
      <c r="Q3903" s="147"/>
      <c r="R3903" s="149"/>
      <c r="T3903" s="44"/>
      <c r="U3903" s="34"/>
    </row>
    <row r="3904" spans="1:24" ht="30" customHeight="1" thickBot="1">
      <c r="A3904" s="1165"/>
      <c r="B3904" s="1166"/>
      <c r="C3904" s="1166"/>
      <c r="D3904" s="1166"/>
      <c r="E3904" s="1166"/>
      <c r="F3904" s="1166"/>
      <c r="G3904" s="1166"/>
      <c r="H3904" s="1166"/>
      <c r="I3904" s="1166"/>
      <c r="J3904" s="1166"/>
      <c r="K3904" s="1166"/>
      <c r="L3904" s="1167"/>
      <c r="M3904" s="1146"/>
      <c r="N3904" s="1103"/>
      <c r="P3904" s="441"/>
      <c r="Q3904" s="441"/>
      <c r="R3904" s="441"/>
      <c r="S3904" s="44"/>
      <c r="T3904" s="44"/>
      <c r="U3904" s="34"/>
    </row>
    <row r="3905" spans="1:24" ht="30" customHeight="1">
      <c r="A3905" s="27" t="s">
        <v>280</v>
      </c>
      <c r="B3905" s="28">
        <v>8441</v>
      </c>
      <c r="C3905" s="1393" t="s">
        <v>2091</v>
      </c>
      <c r="D3905" s="1394"/>
      <c r="E3905" s="30" t="s">
        <v>282</v>
      </c>
      <c r="F3905" s="31" t="s">
        <v>227</v>
      </c>
      <c r="G3905" s="58" t="s">
        <v>290</v>
      </c>
      <c r="H3905" s="76">
        <v>241</v>
      </c>
      <c r="I3905" s="74" t="s">
        <v>283</v>
      </c>
      <c r="J3905" s="1199" t="s">
        <v>2529</v>
      </c>
      <c r="K3905" s="1199"/>
      <c r="L3905" s="1200"/>
      <c r="M3905" s="1146"/>
      <c r="N3905" s="1103"/>
      <c r="O3905" s="33"/>
      <c r="P3905" s="34"/>
      <c r="Q3905" s="34"/>
      <c r="R3905" s="34"/>
      <c r="S3905" s="44"/>
      <c r="T3905" s="44"/>
      <c r="U3905" s="441"/>
      <c r="V3905" s="59"/>
      <c r="W3905" s="59"/>
      <c r="X3905" s="59"/>
    </row>
    <row r="3906" spans="1:24" s="59" customFormat="1" ht="30" customHeight="1">
      <c r="A3906" s="37" t="s">
        <v>304</v>
      </c>
      <c r="B3906" s="1300" t="s">
        <v>330</v>
      </c>
      <c r="C3906" s="1301"/>
      <c r="D3906" s="1302"/>
      <c r="E3906" s="362" t="s">
        <v>295</v>
      </c>
      <c r="F3906" s="362" t="s">
        <v>331</v>
      </c>
      <c r="G3906" s="1204" t="s">
        <v>332</v>
      </c>
      <c r="H3906" s="1205"/>
      <c r="I3906" s="77" t="s">
        <v>305</v>
      </c>
      <c r="J3906" s="35"/>
      <c r="K3906" s="1303" t="s">
        <v>297</v>
      </c>
      <c r="L3906" s="1304"/>
      <c r="M3906" s="1146"/>
      <c r="N3906" s="1103"/>
      <c r="O3906" s="33"/>
      <c r="P3906" s="34"/>
      <c r="Q3906" s="34"/>
      <c r="R3906" s="34"/>
      <c r="S3906" s="44"/>
      <c r="T3906" s="38"/>
      <c r="U3906" s="39"/>
      <c r="V3906" s="38"/>
      <c r="W3906" s="38"/>
      <c r="X3906" s="38"/>
    </row>
    <row r="3907" spans="1:24" s="38" customFormat="1" ht="30" customHeight="1">
      <c r="A3907" s="45" t="s">
        <v>508</v>
      </c>
      <c r="B3907" s="1176" t="s">
        <v>2092</v>
      </c>
      <c r="C3907" s="1177"/>
      <c r="D3907" s="1178"/>
      <c r="E3907" s="335">
        <f>200*52.5</f>
        <v>10500</v>
      </c>
      <c r="F3907" s="22" t="s">
        <v>10</v>
      </c>
      <c r="G3907" s="780">
        <v>432</v>
      </c>
      <c r="H3907" s="784" t="s">
        <v>2093</v>
      </c>
      <c r="I3907" s="20">
        <v>1.08</v>
      </c>
      <c r="J3907" s="68"/>
      <c r="K3907" s="21">
        <f>+E3907/G3907*I3907</f>
        <v>26.250000000000004</v>
      </c>
      <c r="L3907" s="68" t="s">
        <v>227</v>
      </c>
      <c r="M3907" s="1146"/>
      <c r="N3907" s="282"/>
      <c r="O3907" s="33"/>
      <c r="T3907" s="32"/>
      <c r="U3907" s="34"/>
      <c r="V3907"/>
      <c r="W3907"/>
      <c r="X3907"/>
    </row>
    <row r="3908" spans="1:24" ht="30" customHeight="1">
      <c r="A3908" s="45" t="s">
        <v>2073</v>
      </c>
      <c r="B3908" s="1179" t="s">
        <v>2094</v>
      </c>
      <c r="C3908" s="1180"/>
      <c r="D3908" s="1181"/>
      <c r="E3908" s="153">
        <v>14000</v>
      </c>
      <c r="F3908" s="22" t="s">
        <v>10</v>
      </c>
      <c r="G3908" s="780">
        <v>432</v>
      </c>
      <c r="H3908" s="784" t="s">
        <v>2093</v>
      </c>
      <c r="I3908" s="326">
        <v>1.1000000000000001</v>
      </c>
      <c r="J3908" s="68"/>
      <c r="K3908" s="21">
        <f>+E3908/G3908*I3908</f>
        <v>35.648148148148145</v>
      </c>
      <c r="L3908" s="68" t="s">
        <v>227</v>
      </c>
      <c r="M3908" s="1146"/>
      <c r="N3908" s="282"/>
      <c r="O3908" s="33"/>
      <c r="P3908" s="32"/>
      <c r="Q3908" s="32"/>
      <c r="R3908" s="32"/>
      <c r="S3908" s="32"/>
      <c r="T3908" s="32"/>
      <c r="U3908" s="32"/>
      <c r="V3908" s="32"/>
      <c r="W3908" s="32"/>
      <c r="X3908" s="32"/>
    </row>
    <row r="3909" spans="1:24" s="32" customFormat="1" ht="30" customHeight="1">
      <c r="A3909" s="652"/>
      <c r="B3909" s="463" t="s">
        <v>2095</v>
      </c>
      <c r="C3909" s="463"/>
      <c r="D3909" s="463"/>
      <c r="E3909" s="115"/>
      <c r="F3909" s="20"/>
      <c r="G3909" s="20"/>
      <c r="H3909" s="45"/>
      <c r="I3909" s="45"/>
      <c r="J3909" s="45" t="s">
        <v>346</v>
      </c>
      <c r="K3909" s="213">
        <f>SUM(K3907:K3908)</f>
        <v>61.898148148148152</v>
      </c>
      <c r="L3909" s="45" t="s">
        <v>227</v>
      </c>
      <c r="M3909" s="1146"/>
      <c r="N3909" s="1103"/>
      <c r="O3909" s="33"/>
    </row>
    <row r="3910" spans="1:24" s="32" customFormat="1" ht="30" customHeight="1">
      <c r="A3910" s="45"/>
      <c r="B3910" s="189"/>
      <c r="C3910" s="189"/>
      <c r="D3910" s="189"/>
      <c r="E3910" s="213"/>
      <c r="F3910" s="1367" t="s">
        <v>308</v>
      </c>
      <c r="G3910" s="1208" t="s">
        <v>309</v>
      </c>
      <c r="H3910" s="1208"/>
      <c r="I3910" s="1208"/>
      <c r="J3910" s="1208"/>
      <c r="K3910" s="123">
        <v>1.06</v>
      </c>
      <c r="L3910" s="24"/>
      <c r="M3910" s="1146"/>
      <c r="N3910" s="1103"/>
      <c r="O3910" s="1119"/>
    </row>
    <row r="3911" spans="1:24" s="32" customFormat="1" ht="30" customHeight="1">
      <c r="A3911" s="45"/>
      <c r="B3911" s="189"/>
      <c r="C3911" s="189"/>
      <c r="D3911" s="189"/>
      <c r="E3911" s="213"/>
      <c r="F3911" s="1368"/>
      <c r="G3911" s="1209" t="s">
        <v>310</v>
      </c>
      <c r="H3911" s="1209"/>
      <c r="I3911" s="1209"/>
      <c r="J3911" s="1209"/>
      <c r="K3911" s="123">
        <v>1.07</v>
      </c>
      <c r="L3911" s="24"/>
      <c r="M3911" s="1146"/>
      <c r="N3911" s="1103"/>
      <c r="O3911" s="1119"/>
    </row>
    <row r="3912" spans="1:24" s="32" customFormat="1" ht="30" customHeight="1">
      <c r="A3912" s="45"/>
      <c r="B3912" s="45"/>
      <c r="C3912" s="46"/>
      <c r="D3912" s="46"/>
      <c r="E3912" s="46"/>
      <c r="F3912" s="46"/>
      <c r="G3912" s="18"/>
      <c r="H3912" s="18"/>
      <c r="I3912" s="18"/>
      <c r="J3912" s="20" t="s">
        <v>289</v>
      </c>
      <c r="K3912" s="23">
        <f>+K3909*K3910/K3911</f>
        <v>61.319660782277602</v>
      </c>
      <c r="L3912" s="45" t="s">
        <v>227</v>
      </c>
      <c r="M3912" s="1146"/>
      <c r="N3912" s="226"/>
      <c r="O3912"/>
      <c r="T3912" s="44"/>
      <c r="U3912"/>
      <c r="V3912"/>
      <c r="W3912"/>
      <c r="X3912"/>
    </row>
    <row r="3913" spans="1:24" ht="30" customHeight="1" thickBot="1">
      <c r="A3913" s="45"/>
      <c r="B3913" s="45"/>
      <c r="C3913" s="46"/>
      <c r="D3913" s="46"/>
      <c r="E3913" s="46"/>
      <c r="F3913" s="46"/>
      <c r="G3913" s="160" t="s">
        <v>312</v>
      </c>
      <c r="H3913" s="18"/>
      <c r="I3913" s="18"/>
      <c r="J3913" s="139">
        <f>VLOOKUP(B3905,'Mil Cost Premiums for RUCs'!$A$4:$R$266,18,FALSE)</f>
        <v>1.0905505199999999</v>
      </c>
      <c r="K3913" s="23">
        <f>+K3912*J3913</f>
        <v>66.872187952336432</v>
      </c>
      <c r="L3913" s="45" t="s">
        <v>227</v>
      </c>
      <c r="M3913" s="1146"/>
      <c r="N3913" s="193"/>
      <c r="O3913"/>
      <c r="P3913" s="34"/>
      <c r="Q3913" s="34"/>
      <c r="R3913" s="34"/>
      <c r="S3913" s="44"/>
      <c r="T3913" s="44"/>
    </row>
    <row r="3914" spans="1:24" ht="30" customHeight="1" thickBot="1">
      <c r="A3914" s="1165"/>
      <c r="B3914" s="1166"/>
      <c r="C3914" s="1166"/>
      <c r="D3914" s="1166"/>
      <c r="E3914" s="1166"/>
      <c r="F3914" s="1166"/>
      <c r="G3914" s="1166"/>
      <c r="H3914" s="1166"/>
      <c r="I3914" s="1166"/>
      <c r="J3914" s="1166"/>
      <c r="K3914" s="1166"/>
      <c r="L3914" s="1167"/>
      <c r="M3914" s="1146"/>
      <c r="O3914"/>
      <c r="P3914" s="34"/>
      <c r="Q3914" s="34"/>
      <c r="R3914" s="34"/>
      <c r="S3914" s="44"/>
    </row>
    <row r="3915" spans="1:24" ht="30" customHeight="1">
      <c r="A3915" s="27" t="s">
        <v>280</v>
      </c>
      <c r="B3915" s="82">
        <v>8442</v>
      </c>
      <c r="C3915" s="1197" t="s">
        <v>2096</v>
      </c>
      <c r="D3915" s="1198"/>
      <c r="E3915" s="74" t="s">
        <v>282</v>
      </c>
      <c r="F3915" s="75" t="s">
        <v>5</v>
      </c>
      <c r="G3915" s="58" t="s">
        <v>290</v>
      </c>
      <c r="H3915" s="701">
        <v>157772</v>
      </c>
      <c r="I3915" s="74" t="s">
        <v>283</v>
      </c>
      <c r="J3915" s="1199" t="s">
        <v>2529</v>
      </c>
      <c r="K3915" s="1199"/>
      <c r="L3915" s="1200"/>
      <c r="M3915" s="1146"/>
      <c r="N3915" s="125"/>
      <c r="O3915" s="38"/>
      <c r="P3915" s="159"/>
      <c r="Q3915" s="147"/>
      <c r="R3915" s="149"/>
    </row>
    <row r="3916" spans="1:24" ht="30" customHeight="1">
      <c r="A3916" s="37" t="s">
        <v>304</v>
      </c>
      <c r="B3916" s="1201" t="s">
        <v>330</v>
      </c>
      <c r="C3916" s="1202"/>
      <c r="D3916" s="1203"/>
      <c r="E3916" s="150" t="s">
        <v>295</v>
      </c>
      <c r="F3916" s="150" t="s">
        <v>331</v>
      </c>
      <c r="G3916" s="1204" t="s">
        <v>332</v>
      </c>
      <c r="H3916" s="1205"/>
      <c r="I3916" s="77" t="s">
        <v>305</v>
      </c>
      <c r="J3916" s="77"/>
      <c r="K3916" s="1303" t="s">
        <v>297</v>
      </c>
      <c r="L3916" s="1304"/>
      <c r="M3916" s="1146"/>
      <c r="N3916" s="125"/>
      <c r="O3916"/>
      <c r="P3916" s="159"/>
      <c r="Q3916" s="147"/>
      <c r="R3916" s="149"/>
    </row>
    <row r="3917" spans="1:24" ht="30" customHeight="1">
      <c r="A3917" s="45" t="s">
        <v>2097</v>
      </c>
      <c r="B3917" s="1176" t="s">
        <v>2098</v>
      </c>
      <c r="C3917" s="1177"/>
      <c r="D3917" s="1178"/>
      <c r="E3917" s="335">
        <v>713000</v>
      </c>
      <c r="F3917" s="22" t="s">
        <v>10</v>
      </c>
      <c r="G3917" s="780">
        <v>750000</v>
      </c>
      <c r="H3917" s="333" t="s">
        <v>1321</v>
      </c>
      <c r="I3917" s="20">
        <v>1.08</v>
      </c>
      <c r="J3917" s="22"/>
      <c r="K3917" s="23">
        <f>+E3917/G3917*I3917</f>
        <v>1.0267200000000001</v>
      </c>
      <c r="L3917" s="22" t="s">
        <v>5</v>
      </c>
      <c r="M3917" s="1146"/>
      <c r="N3917" s="125"/>
      <c r="O3917" s="34"/>
      <c r="P3917" s="159"/>
      <c r="Q3917" s="147"/>
      <c r="R3917" s="149"/>
      <c r="T3917" s="38"/>
      <c r="U3917" s="38"/>
      <c r="V3917" s="38"/>
      <c r="W3917" s="38"/>
      <c r="X3917" s="38"/>
    </row>
    <row r="3918" spans="1:24" s="38" customFormat="1" ht="30" customHeight="1">
      <c r="A3918" s="45" t="s">
        <v>2097</v>
      </c>
      <c r="B3918" s="1179" t="s">
        <v>2099</v>
      </c>
      <c r="C3918" s="1180"/>
      <c r="D3918" s="1181"/>
      <c r="E3918" s="335">
        <v>825000</v>
      </c>
      <c r="F3918" s="22" t="s">
        <v>10</v>
      </c>
      <c r="G3918" s="780">
        <v>1000000</v>
      </c>
      <c r="H3918" s="333" t="s">
        <v>1321</v>
      </c>
      <c r="I3918" s="20">
        <v>1.08</v>
      </c>
      <c r="J3918" s="22"/>
      <c r="K3918" s="23">
        <f>+E3918/G3918*I3918</f>
        <v>0.89100000000000001</v>
      </c>
      <c r="L3918" s="22" t="s">
        <v>5</v>
      </c>
      <c r="M3918" s="1146"/>
      <c r="N3918" s="125"/>
      <c r="O3918" s="34"/>
      <c r="P3918" s="159"/>
      <c r="Q3918" s="147"/>
      <c r="R3918" s="149"/>
      <c r="T3918"/>
      <c r="U3918"/>
      <c r="V3918"/>
      <c r="W3918"/>
      <c r="X3918"/>
    </row>
    <row r="3919" spans="1:24" ht="30" customHeight="1">
      <c r="A3919" s="45" t="s">
        <v>2097</v>
      </c>
      <c r="B3919" s="1179" t="s">
        <v>2100</v>
      </c>
      <c r="C3919" s="1180"/>
      <c r="D3919" s="1181"/>
      <c r="E3919" s="335">
        <v>2975000</v>
      </c>
      <c r="F3919" s="22" t="s">
        <v>10</v>
      </c>
      <c r="G3919" s="780">
        <v>1000000</v>
      </c>
      <c r="H3919" s="333" t="s">
        <v>1321</v>
      </c>
      <c r="I3919" s="20">
        <v>1.08</v>
      </c>
      <c r="J3919" s="22"/>
      <c r="K3919" s="23">
        <f>+E3919/G3919*I3919</f>
        <v>3.2130000000000005</v>
      </c>
      <c r="L3919" s="22" t="s">
        <v>5</v>
      </c>
      <c r="M3919" s="1146"/>
      <c r="N3919" s="125"/>
      <c r="O3919"/>
      <c r="P3919" s="159"/>
      <c r="Q3919" s="147"/>
      <c r="R3919" s="149"/>
    </row>
    <row r="3920" spans="1:24" ht="30" customHeight="1">
      <c r="A3920" s="652"/>
      <c r="B3920" s="1267"/>
      <c r="C3920" s="1267"/>
      <c r="D3920" s="1267"/>
      <c r="E3920" s="153"/>
      <c r="F3920" s="20"/>
      <c r="G3920" s="20"/>
      <c r="H3920" s="20"/>
      <c r="I3920" s="20"/>
      <c r="J3920" s="20" t="s">
        <v>311</v>
      </c>
      <c r="K3920" s="153">
        <f>AVERAGE(K3917:K3919)</f>
        <v>1.71024</v>
      </c>
      <c r="L3920" s="20" t="s">
        <v>5</v>
      </c>
      <c r="M3920" s="1146"/>
      <c r="N3920" s="125"/>
      <c r="O3920"/>
      <c r="P3920" s="283"/>
      <c r="Q3920" s="282"/>
      <c r="R3920" s="284"/>
    </row>
    <row r="3921" spans="1:24" ht="30" customHeight="1">
      <c r="A3921" s="45"/>
      <c r="B3921" s="157"/>
      <c r="C3921" s="157"/>
      <c r="D3921" s="157"/>
      <c r="E3921" s="153"/>
      <c r="F3921" s="1174" t="s">
        <v>308</v>
      </c>
      <c r="G3921" s="1208" t="s">
        <v>309</v>
      </c>
      <c r="H3921" s="1208"/>
      <c r="I3921" s="1208"/>
      <c r="J3921" s="1208"/>
      <c r="K3921" s="123">
        <v>1.06</v>
      </c>
      <c r="L3921" s="10"/>
      <c r="M3921" s="1146"/>
      <c r="O3921"/>
      <c r="P3921" s="283"/>
      <c r="Q3921" s="282"/>
      <c r="R3921" s="284"/>
    </row>
    <row r="3922" spans="1:24" ht="30" customHeight="1">
      <c r="A3922" s="45"/>
      <c r="B3922" s="157"/>
      <c r="C3922" s="157"/>
      <c r="D3922" s="157"/>
      <c r="E3922" s="153"/>
      <c r="F3922" s="1175"/>
      <c r="G3922" s="1209" t="s">
        <v>310</v>
      </c>
      <c r="H3922" s="1209"/>
      <c r="I3922" s="1209"/>
      <c r="J3922" s="1209"/>
      <c r="K3922" s="123">
        <v>1.07</v>
      </c>
      <c r="L3922" s="10"/>
      <c r="M3922" s="1146"/>
      <c r="O3922"/>
      <c r="P3922" s="159"/>
      <c r="Q3922" s="147"/>
      <c r="R3922" s="149"/>
    </row>
    <row r="3923" spans="1:24" ht="30" customHeight="1">
      <c r="A3923" s="45"/>
      <c r="B3923" s="20"/>
      <c r="C3923" s="18"/>
      <c r="D3923" s="18"/>
      <c r="E3923" s="18"/>
      <c r="F3923" s="18"/>
      <c r="G3923" s="18"/>
      <c r="H3923" s="18"/>
      <c r="I3923" s="18"/>
      <c r="J3923" s="20" t="s">
        <v>289</v>
      </c>
      <c r="K3923" s="23">
        <f>+K3920*K3921/K3922</f>
        <v>1.6942564485981306</v>
      </c>
      <c r="L3923" s="20" t="s">
        <v>5</v>
      </c>
      <c r="M3923" s="1146"/>
      <c r="N3923" s="1103"/>
      <c r="O3923" s="38"/>
      <c r="P3923" s="159"/>
      <c r="Q3923" s="147"/>
      <c r="R3923" s="149"/>
    </row>
    <row r="3924" spans="1:24" ht="30" customHeight="1" thickBot="1">
      <c r="A3924" s="45"/>
      <c r="B3924" s="20"/>
      <c r="C3924" s="18"/>
      <c r="D3924" s="18"/>
      <c r="E3924" s="18"/>
      <c r="F3924" s="18"/>
      <c r="G3924" s="160" t="s">
        <v>312</v>
      </c>
      <c r="H3924" s="18"/>
      <c r="I3924" s="18"/>
      <c r="J3924" s="139">
        <f>VLOOKUP(B3915,'Mil Cost Premiums for RUCs'!$A$4:$R$266,18,FALSE)</f>
        <v>1.0905505199999999</v>
      </c>
      <c r="K3924" s="23">
        <f>+K3923*J3924</f>
        <v>1.8476722510320445</v>
      </c>
      <c r="L3924" s="20" t="s">
        <v>5</v>
      </c>
      <c r="M3924" s="1146"/>
      <c r="N3924" s="1103"/>
      <c r="O3924"/>
      <c r="P3924" s="159"/>
      <c r="Q3924" s="147"/>
      <c r="R3924" s="149"/>
    </row>
    <row r="3925" spans="1:24" ht="30" customHeight="1" thickBot="1">
      <c r="A3925" s="1165"/>
      <c r="B3925" s="1166"/>
      <c r="C3925" s="1166"/>
      <c r="D3925" s="1166"/>
      <c r="E3925" s="1166"/>
      <c r="F3925" s="1166"/>
      <c r="G3925" s="1166"/>
      <c r="H3925" s="1166"/>
      <c r="I3925" s="1166"/>
      <c r="J3925" s="1166"/>
      <c r="K3925" s="1166"/>
      <c r="L3925" s="1167"/>
      <c r="M3925" s="1146"/>
      <c r="N3925" s="1103"/>
      <c r="O3925" s="34"/>
      <c r="P3925" s="159"/>
      <c r="Q3925" s="147"/>
      <c r="R3925" s="149"/>
      <c r="T3925" s="38"/>
      <c r="U3925" s="38"/>
      <c r="V3925" s="38"/>
      <c r="W3925" s="38"/>
      <c r="X3925" s="38"/>
    </row>
    <row r="3926" spans="1:24" s="38" customFormat="1" ht="30" customHeight="1">
      <c r="A3926" s="27" t="s">
        <v>280</v>
      </c>
      <c r="B3926" s="28">
        <v>8452</v>
      </c>
      <c r="C3926" s="1215" t="s">
        <v>2101</v>
      </c>
      <c r="D3926" s="1216"/>
      <c r="E3926" s="30" t="s">
        <v>282</v>
      </c>
      <c r="F3926" s="31" t="s">
        <v>227</v>
      </c>
      <c r="G3926" s="58" t="s">
        <v>290</v>
      </c>
      <c r="H3926" s="104">
        <v>2581</v>
      </c>
      <c r="I3926" s="30" t="s">
        <v>283</v>
      </c>
      <c r="J3926" s="1199" t="s">
        <v>2569</v>
      </c>
      <c r="K3926" s="1230"/>
      <c r="L3926" s="1231"/>
      <c r="M3926" s="1146"/>
      <c r="N3926" s="282"/>
      <c r="O3926" s="34"/>
      <c r="P3926" s="159"/>
      <c r="Q3926" s="147"/>
      <c r="R3926" s="149"/>
      <c r="T3926"/>
      <c r="U3926"/>
      <c r="V3926"/>
      <c r="W3926"/>
      <c r="X3926"/>
    </row>
    <row r="3927" spans="1:24" ht="30" customHeight="1">
      <c r="A3927" s="35" t="s">
        <v>293</v>
      </c>
      <c r="B3927" s="1299" t="s">
        <v>284</v>
      </c>
      <c r="C3927" s="1299"/>
      <c r="D3927" s="1299"/>
      <c r="E3927" s="310" t="s">
        <v>1907</v>
      </c>
      <c r="F3927" s="35" t="s">
        <v>2079</v>
      </c>
      <c r="G3927" s="1413" t="s">
        <v>332</v>
      </c>
      <c r="H3927" s="1414"/>
      <c r="I3927" s="1233" t="s">
        <v>426</v>
      </c>
      <c r="J3927" s="1234"/>
      <c r="K3927" s="1303" t="s">
        <v>297</v>
      </c>
      <c r="L3927" s="1304"/>
      <c r="M3927" s="1146"/>
      <c r="N3927" s="282"/>
      <c r="O3927"/>
      <c r="P3927" s="159"/>
      <c r="Q3927" s="147"/>
      <c r="R3927" s="149"/>
    </row>
    <row r="3928" spans="1:24" ht="30" customHeight="1">
      <c r="A3928" s="45">
        <v>84472</v>
      </c>
      <c r="B3928" s="1188" t="s">
        <v>2085</v>
      </c>
      <c r="C3928" s="1189"/>
      <c r="D3928" s="1190"/>
      <c r="E3928" s="153">
        <v>58460</v>
      </c>
      <c r="F3928" s="598">
        <v>1000</v>
      </c>
      <c r="G3928" s="598">
        <v>1000</v>
      </c>
      <c r="H3928" s="757"/>
      <c r="I3928" s="1546">
        <f>+'2019 MILCON Inflation Table'!$F$18</f>
        <v>0.94232233454704462</v>
      </c>
      <c r="J3928" s="1547"/>
      <c r="K3928" s="94">
        <f>+E3928/F3928*I3928</f>
        <v>55.08816367762023</v>
      </c>
      <c r="L3928" s="48" t="s">
        <v>227</v>
      </c>
      <c r="M3928" s="1146"/>
      <c r="N3928" s="1103"/>
      <c r="O3928"/>
      <c r="P3928" s="283"/>
      <c r="Q3928" s="282"/>
      <c r="R3928" s="284"/>
    </row>
    <row r="3929" spans="1:24" ht="30" customHeight="1">
      <c r="A3929" s="45">
        <v>84472</v>
      </c>
      <c r="B3929" s="1188" t="s">
        <v>2086</v>
      </c>
      <c r="C3929" s="1189"/>
      <c r="D3929" s="1190"/>
      <c r="E3929" s="714">
        <v>76100</v>
      </c>
      <c r="F3929" s="598">
        <v>2000</v>
      </c>
      <c r="G3929" s="316">
        <v>2000</v>
      </c>
      <c r="H3929" s="757"/>
      <c r="I3929" s="1546">
        <f>+'2019 MILCON Inflation Table'!$F$18</f>
        <v>0.94232233454704462</v>
      </c>
      <c r="J3929" s="1547"/>
      <c r="K3929" s="94">
        <f>+E3929/F3929*I3929</f>
        <v>35.855364829515047</v>
      </c>
      <c r="L3929" s="48" t="s">
        <v>227</v>
      </c>
      <c r="M3929" s="1146"/>
      <c r="N3929" s="1103"/>
      <c r="O3929"/>
      <c r="P3929" s="283"/>
      <c r="Q3929" s="282"/>
      <c r="R3929" s="284"/>
    </row>
    <row r="3930" spans="1:24" ht="30" customHeight="1">
      <c r="A3930" s="45">
        <v>84472</v>
      </c>
      <c r="B3930" s="1188" t="s">
        <v>2087</v>
      </c>
      <c r="C3930" s="1189"/>
      <c r="D3930" s="1190"/>
      <c r="E3930" s="23">
        <v>36850</v>
      </c>
      <c r="F3930" s="598">
        <v>1000</v>
      </c>
      <c r="G3930" s="598">
        <v>1000</v>
      </c>
      <c r="H3930" s="757"/>
      <c r="I3930" s="1546">
        <f>+'2019 MILCON Inflation Table'!$F$18</f>
        <v>0.94232233454704462</v>
      </c>
      <c r="J3930" s="1547"/>
      <c r="K3930" s="94">
        <f>+E3930/F3930*I3930</f>
        <v>34.724578028058595</v>
      </c>
      <c r="L3930" s="48" t="s">
        <v>227</v>
      </c>
      <c r="M3930" s="1146"/>
      <c r="N3930" s="1103"/>
      <c r="O3930"/>
      <c r="P3930" s="159"/>
      <c r="Q3930" s="147"/>
      <c r="R3930" s="149"/>
    </row>
    <row r="3931" spans="1:24" ht="30" customHeight="1" thickBot="1">
      <c r="A3931" s="45"/>
      <c r="B3931" s="1383"/>
      <c r="C3931" s="1384"/>
      <c r="D3931" s="1385"/>
      <c r="E3931" s="70"/>
      <c r="F3931" s="359"/>
      <c r="G3931" s="70"/>
      <c r="H3931" s="312" t="s">
        <v>311</v>
      </c>
      <c r="I3931" s="46"/>
      <c r="J3931" s="37" t="s">
        <v>289</v>
      </c>
      <c r="K3931" s="87">
        <f>AVERAGE(K3928:K3930)</f>
        <v>41.889368845064631</v>
      </c>
      <c r="L3931" s="48" t="s">
        <v>227</v>
      </c>
      <c r="M3931" s="1146"/>
      <c r="N3931" s="1103"/>
      <c r="O3931" s="38"/>
      <c r="P3931" s="159"/>
      <c r="Q3931" s="147"/>
      <c r="R3931" s="149"/>
    </row>
    <row r="3932" spans="1:24" ht="30" customHeight="1" thickBot="1">
      <c r="A3932" s="1165"/>
      <c r="B3932" s="1166"/>
      <c r="C3932" s="1166"/>
      <c r="D3932" s="1166"/>
      <c r="E3932" s="1166"/>
      <c r="F3932" s="1166"/>
      <c r="G3932" s="1166"/>
      <c r="H3932" s="1166"/>
      <c r="I3932" s="1166"/>
      <c r="J3932" s="1166"/>
      <c r="K3932" s="1166"/>
      <c r="L3932" s="1167"/>
      <c r="M3932" s="1146"/>
      <c r="N3932" s="1103"/>
      <c r="O3932"/>
      <c r="P3932" s="159"/>
      <c r="Q3932" s="147"/>
      <c r="R3932" s="149"/>
    </row>
    <row r="3933" spans="1:24" ht="30" customHeight="1">
      <c r="A3933" s="81" t="s">
        <v>280</v>
      </c>
      <c r="B3933" s="82">
        <v>8511</v>
      </c>
      <c r="C3933" s="1228" t="s">
        <v>2102</v>
      </c>
      <c r="D3933" s="1229"/>
      <c r="E3933" s="74" t="s">
        <v>282</v>
      </c>
      <c r="F3933" s="75" t="s">
        <v>3</v>
      </c>
      <c r="G3933" s="58" t="s">
        <v>290</v>
      </c>
      <c r="H3933" s="104">
        <v>29407</v>
      </c>
      <c r="I3933" s="74" t="s">
        <v>283</v>
      </c>
      <c r="J3933" s="1199" t="s">
        <v>2569</v>
      </c>
      <c r="K3933" s="1230"/>
      <c r="L3933" s="1231"/>
      <c r="M3933" s="1146"/>
      <c r="N3933" s="1103"/>
      <c r="O3933"/>
      <c r="P3933" s="159"/>
      <c r="Q3933" s="147"/>
      <c r="R3933" s="149"/>
      <c r="T3933" s="38"/>
      <c r="U3933" s="38"/>
      <c r="V3933" s="38"/>
      <c r="W3933" s="38"/>
      <c r="X3933" s="38"/>
    </row>
    <row r="3934" spans="1:24" s="38" customFormat="1" ht="30" customHeight="1">
      <c r="A3934" s="77" t="s">
        <v>293</v>
      </c>
      <c r="B3934" s="1232" t="s">
        <v>284</v>
      </c>
      <c r="C3934" s="1232"/>
      <c r="D3934" s="1232"/>
      <c r="E3934" s="96" t="s">
        <v>295</v>
      </c>
      <c r="F3934" s="77" t="s">
        <v>2</v>
      </c>
      <c r="G3934" s="1365" t="s">
        <v>332</v>
      </c>
      <c r="H3934" s="1366"/>
      <c r="I3934" s="1233" t="s">
        <v>426</v>
      </c>
      <c r="J3934" s="1234"/>
      <c r="K3934" s="1303" t="s">
        <v>297</v>
      </c>
      <c r="L3934" s="1304"/>
      <c r="M3934" s="1146"/>
      <c r="N3934" s="282"/>
      <c r="O3934"/>
      <c r="P3934" s="159"/>
      <c r="Q3934" s="147"/>
      <c r="R3934" s="149"/>
      <c r="T3934"/>
      <c r="U3934"/>
      <c r="V3934"/>
      <c r="W3934"/>
      <c r="X3934"/>
    </row>
    <row r="3935" spans="1:24" ht="30" customHeight="1">
      <c r="A3935" s="73"/>
      <c r="B3935" s="1362" t="s">
        <v>2103</v>
      </c>
      <c r="C3935" s="1363"/>
      <c r="D3935" s="1364"/>
      <c r="E3935" s="785"/>
      <c r="F3935" s="73"/>
      <c r="G3935" s="785"/>
      <c r="H3935" s="786"/>
      <c r="I3935" s="787"/>
      <c r="J3935" s="340"/>
      <c r="K3935" s="81"/>
      <c r="L3935" s="788"/>
      <c r="M3935" s="1146"/>
      <c r="N3935" s="282"/>
      <c r="O3935"/>
      <c r="P3935" s="159"/>
      <c r="Q3935" s="147"/>
      <c r="R3935" s="149"/>
    </row>
    <row r="3936" spans="1:24" ht="30" customHeight="1">
      <c r="A3936" s="20">
        <v>93210</v>
      </c>
      <c r="B3936" s="1692" t="s">
        <v>1564</v>
      </c>
      <c r="C3936" s="1693"/>
      <c r="D3936" s="1694"/>
      <c r="E3936" s="153">
        <v>2.8</v>
      </c>
      <c r="F3936" s="316" t="s">
        <v>2104</v>
      </c>
      <c r="G3936" s="790">
        <v>0.33300000000000002</v>
      </c>
      <c r="H3936" s="267" t="s">
        <v>2105</v>
      </c>
      <c r="I3936" s="1546">
        <f>+'2019 MILCON Inflation Table'!$F$18</f>
        <v>0.94232233454704462</v>
      </c>
      <c r="J3936" s="1547"/>
      <c r="K3936" s="106">
        <f>+E3936*G3936*I3936</f>
        <v>0.87862134473166442</v>
      </c>
      <c r="L3936" s="97" t="s">
        <v>3</v>
      </c>
      <c r="M3936" s="1146"/>
      <c r="N3936" s="1103"/>
      <c r="O3936"/>
      <c r="P3936" s="159"/>
      <c r="Q3936" s="147"/>
      <c r="R3936" s="149"/>
    </row>
    <row r="3937" spans="1:24" ht="30" customHeight="1">
      <c r="A3937" s="20">
        <v>93410</v>
      </c>
      <c r="B3937" s="1176" t="s">
        <v>2106</v>
      </c>
      <c r="C3937" s="1177"/>
      <c r="D3937" s="1178"/>
      <c r="E3937" s="153">
        <v>4.7</v>
      </c>
      <c r="F3937" s="316" t="s">
        <v>2107</v>
      </c>
      <c r="G3937" s="790">
        <v>0.5</v>
      </c>
      <c r="H3937" s="267" t="s">
        <v>2108</v>
      </c>
      <c r="I3937" s="1546">
        <f>+'2019 MILCON Inflation Table'!$F$18</f>
        <v>0.94232233454704462</v>
      </c>
      <c r="J3937" s="1547"/>
      <c r="K3937" s="106">
        <f>+E3937*G3937*I3937</f>
        <v>2.2144574861855548</v>
      </c>
      <c r="L3937" s="97" t="s">
        <v>3</v>
      </c>
      <c r="M3937" s="1146"/>
      <c r="N3937" s="1103"/>
      <c r="O3937" s="34"/>
      <c r="P3937" s="159"/>
      <c r="Q3937" s="147"/>
      <c r="R3937" s="149"/>
    </row>
    <row r="3938" spans="1:24" ht="30" customHeight="1">
      <c r="A3938" s="20">
        <v>85110</v>
      </c>
      <c r="B3938" s="1692" t="s">
        <v>2109</v>
      </c>
      <c r="C3938" s="1693"/>
      <c r="D3938" s="1694"/>
      <c r="E3938" s="153">
        <v>9.6999999999999993</v>
      </c>
      <c r="F3938" s="316" t="s">
        <v>3</v>
      </c>
      <c r="G3938" s="717"/>
      <c r="H3938" s="267"/>
      <c r="I3938" s="1546">
        <f>+'2019 MILCON Inflation Table'!$F$18</f>
        <v>0.94232233454704462</v>
      </c>
      <c r="J3938" s="1547"/>
      <c r="K3938" s="106">
        <f>+E3938*I3938</f>
        <v>9.1405266451063323</v>
      </c>
      <c r="L3938" s="97" t="s">
        <v>3</v>
      </c>
      <c r="M3938" s="1146"/>
      <c r="N3938" s="1103"/>
      <c r="O3938" s="34"/>
      <c r="P3938" s="159"/>
      <c r="Q3938" s="147"/>
      <c r="R3938" s="149"/>
    </row>
    <row r="3939" spans="1:24" ht="30" customHeight="1">
      <c r="A3939" s="20">
        <v>85110</v>
      </c>
      <c r="B3939" s="1176" t="s">
        <v>2110</v>
      </c>
      <c r="C3939" s="1177"/>
      <c r="D3939" s="1178"/>
      <c r="E3939" s="153">
        <v>2</v>
      </c>
      <c r="F3939" s="316" t="s">
        <v>3</v>
      </c>
      <c r="G3939" s="527"/>
      <c r="H3939" s="267"/>
      <c r="I3939" s="1546">
        <f>+'2019 MILCON Inflation Table'!$F$18</f>
        <v>0.94232233454704462</v>
      </c>
      <c r="J3939" s="1547"/>
      <c r="K3939" s="106">
        <f>+E3939*I3939</f>
        <v>1.8846446690940892</v>
      </c>
      <c r="L3939" s="97" t="s">
        <v>3</v>
      </c>
      <c r="M3939" s="1146"/>
      <c r="N3939" s="1103"/>
      <c r="O3939"/>
      <c r="P3939" s="159"/>
      <c r="Q3939" s="147"/>
      <c r="R3939" s="149"/>
    </row>
    <row r="3940" spans="1:24" ht="30" customHeight="1">
      <c r="A3940" s="20">
        <v>85110</v>
      </c>
      <c r="B3940" s="1176" t="s">
        <v>2111</v>
      </c>
      <c r="C3940" s="1177"/>
      <c r="D3940" s="1178"/>
      <c r="E3940" s="153">
        <v>18.5</v>
      </c>
      <c r="F3940" s="316" t="s">
        <v>3</v>
      </c>
      <c r="G3940" s="527"/>
      <c r="H3940" s="267"/>
      <c r="I3940" s="1546">
        <f>+'2019 MILCON Inflation Table'!$F$18</f>
        <v>0.94232233454704462</v>
      </c>
      <c r="J3940" s="1547"/>
      <c r="K3940" s="106">
        <f>+E3940*I3940</f>
        <v>17.432963189120326</v>
      </c>
      <c r="L3940" s="97" t="s">
        <v>3</v>
      </c>
      <c r="M3940" s="1146"/>
      <c r="N3940" s="1103"/>
      <c r="O3940" s="743"/>
      <c r="P3940" s="283"/>
      <c r="Q3940" s="282"/>
      <c r="R3940" s="284"/>
    </row>
    <row r="3941" spans="1:24" ht="30" customHeight="1">
      <c r="A3941" s="20"/>
      <c r="B3941" s="436"/>
      <c r="C3941" s="437"/>
      <c r="D3941" s="325"/>
      <c r="E3941" s="287"/>
      <c r="F3941" s="527"/>
      <c r="G3941" s="527"/>
      <c r="H3941" s="267"/>
      <c r="I3941" s="530"/>
      <c r="J3941" s="531" t="s">
        <v>2103</v>
      </c>
      <c r="K3941" s="106">
        <f>SUM(K3936:K3940)</f>
        <v>31.551213334237968</v>
      </c>
      <c r="L3941" s="97" t="s">
        <v>3</v>
      </c>
      <c r="M3941" s="1146"/>
      <c r="N3941" s="1103"/>
      <c r="P3941" s="283"/>
      <c r="Q3941" s="282"/>
      <c r="R3941" s="284"/>
    </row>
    <row r="3942" spans="1:24" ht="30" customHeight="1">
      <c r="A3942" s="20"/>
      <c r="B3942" s="1362" t="s">
        <v>2112</v>
      </c>
      <c r="C3942" s="1363"/>
      <c r="D3942" s="1364"/>
      <c r="E3942" s="287"/>
      <c r="F3942" s="527"/>
      <c r="G3942" s="527"/>
      <c r="H3942" s="267"/>
      <c r="I3942" s="530"/>
      <c r="J3942" s="531"/>
      <c r="K3942" s="106"/>
      <c r="L3942" s="97"/>
      <c r="M3942" s="1146"/>
      <c r="N3942" s="1103"/>
      <c r="P3942" s="159"/>
      <c r="Q3942" s="147"/>
      <c r="R3942" s="149"/>
      <c r="T3942" s="44"/>
      <c r="U3942" s="34"/>
    </row>
    <row r="3943" spans="1:24" ht="30" customHeight="1">
      <c r="A3943" s="20">
        <v>93210</v>
      </c>
      <c r="B3943" s="1692" t="s">
        <v>1564</v>
      </c>
      <c r="C3943" s="1693"/>
      <c r="D3943" s="1694"/>
      <c r="E3943" s="153">
        <v>2.8</v>
      </c>
      <c r="F3943" s="316" t="s">
        <v>2104</v>
      </c>
      <c r="G3943" s="790">
        <v>0.33300000000000002</v>
      </c>
      <c r="H3943" s="267" t="s">
        <v>2105</v>
      </c>
      <c r="I3943" s="1546">
        <f>+'2019 MILCON Inflation Table'!$F$18</f>
        <v>0.94232233454704462</v>
      </c>
      <c r="J3943" s="1547"/>
      <c r="K3943" s="106">
        <f>+E3943*G3943*I3943</f>
        <v>0.87862134473166442</v>
      </c>
      <c r="L3943" s="97" t="s">
        <v>3</v>
      </c>
      <c r="M3943" s="1146"/>
      <c r="N3943" s="1103"/>
      <c r="P3943" s="441"/>
      <c r="Q3943" s="441"/>
      <c r="R3943" s="441"/>
      <c r="S3943" s="44"/>
      <c r="T3943" s="44"/>
      <c r="U3943" s="34"/>
    </row>
    <row r="3944" spans="1:24" ht="30" customHeight="1">
      <c r="A3944" s="20">
        <v>93410</v>
      </c>
      <c r="B3944" s="1176" t="s">
        <v>2113</v>
      </c>
      <c r="C3944" s="1177"/>
      <c r="D3944" s="1178"/>
      <c r="E3944" s="153">
        <v>4.7</v>
      </c>
      <c r="F3944" s="316" t="s">
        <v>2107</v>
      </c>
      <c r="G3944" s="790">
        <v>0.33300000000000002</v>
      </c>
      <c r="H3944" s="267" t="s">
        <v>2108</v>
      </c>
      <c r="I3944" s="1546">
        <f>+'2019 MILCON Inflation Table'!$F$18</f>
        <v>0.94232233454704462</v>
      </c>
      <c r="J3944" s="1547"/>
      <c r="K3944" s="106">
        <f>+E3944*G3944*I3944</f>
        <v>1.4748286857995796</v>
      </c>
      <c r="L3944" s="97" t="s">
        <v>3</v>
      </c>
      <c r="M3944" s="1146"/>
      <c r="N3944" s="1103"/>
      <c r="P3944" s="34"/>
      <c r="Q3944" s="34"/>
      <c r="R3944" s="34"/>
      <c r="S3944" s="44"/>
      <c r="U3944" s="441"/>
      <c r="V3944" s="59"/>
      <c r="W3944" s="59"/>
      <c r="X3944" s="59"/>
    </row>
    <row r="3945" spans="1:24" s="59" customFormat="1" ht="30" customHeight="1">
      <c r="A3945" s="20">
        <v>85110</v>
      </c>
      <c r="B3945" s="1692" t="s">
        <v>2114</v>
      </c>
      <c r="C3945" s="1693"/>
      <c r="D3945" s="1694"/>
      <c r="E3945" s="153">
        <v>6.9</v>
      </c>
      <c r="F3945" s="316" t="s">
        <v>3</v>
      </c>
      <c r="G3945" s="717"/>
      <c r="H3945" s="267"/>
      <c r="I3945" s="1546">
        <f>+'2019 MILCON Inflation Table'!$F$18</f>
        <v>0.94232233454704462</v>
      </c>
      <c r="J3945" s="1547"/>
      <c r="K3945" s="106">
        <f>+E3945*I3945</f>
        <v>6.5020241083746084</v>
      </c>
      <c r="L3945" s="97" t="s">
        <v>3</v>
      </c>
      <c r="M3945" s="1146"/>
      <c r="N3945" s="1103"/>
      <c r="O3945" s="1119"/>
      <c r="P3945"/>
      <c r="Q3945"/>
      <c r="R3945"/>
      <c r="S3945"/>
      <c r="T3945" s="38"/>
      <c r="U3945" s="39"/>
      <c r="V3945" s="38"/>
      <c r="W3945" s="38"/>
      <c r="X3945" s="38"/>
    </row>
    <row r="3946" spans="1:24" s="38" customFormat="1" ht="30" customHeight="1">
      <c r="A3946" s="20">
        <v>85110</v>
      </c>
      <c r="B3946" s="1362" t="s">
        <v>2115</v>
      </c>
      <c r="C3946" s="1363"/>
      <c r="D3946" s="1364"/>
      <c r="E3946" s="153">
        <v>47.9</v>
      </c>
      <c r="F3946" s="316" t="s">
        <v>3</v>
      </c>
      <c r="G3946" s="527"/>
      <c r="H3946" s="267"/>
      <c r="I3946" s="1546">
        <f>+'2019 MILCON Inflation Table'!$F$18</f>
        <v>0.94232233454704462</v>
      </c>
      <c r="J3946" s="1547"/>
      <c r="K3946" s="106">
        <f>+E3946*I3946</f>
        <v>45.137239824803437</v>
      </c>
      <c r="L3946" s="97" t="s">
        <v>3</v>
      </c>
      <c r="M3946" s="1146"/>
      <c r="N3946" s="282"/>
      <c r="O3946" s="1119"/>
      <c r="T3946"/>
      <c r="U3946" s="34"/>
      <c r="V3946"/>
      <c r="W3946"/>
      <c r="X3946"/>
    </row>
    <row r="3947" spans="1:24" ht="30" customHeight="1">
      <c r="A3947" s="1695" t="s">
        <v>2817</v>
      </c>
      <c r="B3947" s="1696"/>
      <c r="C3947" s="1696"/>
      <c r="D3947" s="1697"/>
      <c r="E3947" s="287"/>
      <c r="F3947" s="527"/>
      <c r="G3947" s="527"/>
      <c r="H3947" s="267"/>
      <c r="I3947" s="530"/>
      <c r="J3947" s="531" t="s">
        <v>2112</v>
      </c>
      <c r="K3947" s="106">
        <f>SUM(K3943:K3946)</f>
        <v>53.992713963709292</v>
      </c>
      <c r="L3947" s="97" t="s">
        <v>3</v>
      </c>
      <c r="M3947" s="1146"/>
      <c r="N3947" s="282"/>
      <c r="O3947"/>
      <c r="T3947" s="44"/>
    </row>
    <row r="3948" spans="1:24" ht="30" customHeight="1">
      <c r="A3948" s="1698"/>
      <c r="B3948" s="1699"/>
      <c r="C3948" s="1699"/>
      <c r="D3948" s="1700"/>
      <c r="E3948" s="287"/>
      <c r="F3948" s="527"/>
      <c r="G3948" s="527"/>
      <c r="H3948" s="267"/>
      <c r="I3948" s="530"/>
      <c r="J3948" s="791" t="s">
        <v>367</v>
      </c>
      <c r="K3948" s="106">
        <f>+K3941*0.805+K3947*0.195</f>
        <v>35.927305956984881</v>
      </c>
      <c r="L3948" s="97" t="s">
        <v>3</v>
      </c>
      <c r="M3948" s="1146"/>
      <c r="N3948" s="1103"/>
      <c r="O3948"/>
      <c r="P3948" s="34"/>
      <c r="Q3948" s="34"/>
      <c r="R3948" s="34"/>
      <c r="S3948" s="44"/>
      <c r="T3948" s="44"/>
    </row>
    <row r="3949" spans="1:24" ht="30" customHeight="1">
      <c r="A3949" s="20">
        <v>85110</v>
      </c>
      <c r="B3949" s="1439" t="s">
        <v>2116</v>
      </c>
      <c r="C3949" s="1440"/>
      <c r="D3949" s="1441"/>
      <c r="E3949" s="153">
        <v>30.9</v>
      </c>
      <c r="F3949" s="316" t="s">
        <v>6</v>
      </c>
      <c r="G3949" s="792">
        <v>2.67</v>
      </c>
      <c r="H3949" s="267" t="s">
        <v>2117</v>
      </c>
      <c r="I3949" s="1546">
        <f>+'2019 MILCON Inflation Table'!$F$18</f>
        <v>0.94232233454704462</v>
      </c>
      <c r="J3949" s="1547"/>
      <c r="K3949" s="106">
        <f>+E3949/G3949*I3949</f>
        <v>10.905528141387144</v>
      </c>
      <c r="L3949" s="97" t="s">
        <v>3</v>
      </c>
      <c r="M3949" s="1146"/>
      <c r="N3949" s="1103"/>
      <c r="O3949"/>
      <c r="P3949" s="34"/>
      <c r="Q3949" s="34"/>
      <c r="R3949" s="34"/>
      <c r="S3949" s="44"/>
    </row>
    <row r="3950" spans="1:24" ht="30" customHeight="1">
      <c r="A3950" s="20">
        <v>85110</v>
      </c>
      <c r="B3950" s="1439" t="s">
        <v>2118</v>
      </c>
      <c r="C3950" s="1440"/>
      <c r="D3950" s="1441"/>
      <c r="E3950" s="153">
        <v>0.4</v>
      </c>
      <c r="F3950" s="316" t="s">
        <v>6</v>
      </c>
      <c r="G3950" s="792">
        <v>2.67</v>
      </c>
      <c r="H3950" s="267" t="s">
        <v>2117</v>
      </c>
      <c r="I3950" s="1546">
        <f>+'2019 MILCON Inflation Table'!$F$18</f>
        <v>0.94232233454704462</v>
      </c>
      <c r="J3950" s="1547"/>
      <c r="K3950" s="106">
        <f>+E3950/G3950*I3950</f>
        <v>0.14117188532539995</v>
      </c>
      <c r="L3950" s="97" t="s">
        <v>3</v>
      </c>
      <c r="M3950" s="1146"/>
      <c r="N3950" s="1103"/>
      <c r="O3950" s="38"/>
      <c r="P3950" s="159"/>
      <c r="Q3950" s="147"/>
      <c r="R3950" s="149"/>
    </row>
    <row r="3951" spans="1:24" ht="30" customHeight="1" thickBot="1">
      <c r="A3951" s="1701"/>
      <c r="B3951" s="1702"/>
      <c r="C3951" s="1702"/>
      <c r="D3951" s="1703"/>
      <c r="E3951" s="181"/>
      <c r="F3951" s="338"/>
      <c r="G3951" s="181"/>
      <c r="H3951" s="339" t="s">
        <v>346</v>
      </c>
      <c r="I3951" s="18"/>
      <c r="J3951" s="79" t="s">
        <v>289</v>
      </c>
      <c r="K3951" s="107">
        <f>+K3948+K3949+K3950</f>
        <v>46.974005983697424</v>
      </c>
      <c r="L3951" s="97" t="s">
        <v>3</v>
      </c>
      <c r="M3951" s="1146"/>
      <c r="N3951" s="226"/>
      <c r="O3951"/>
      <c r="P3951" s="159"/>
      <c r="Q3951" s="147"/>
      <c r="R3951" s="149"/>
    </row>
    <row r="3952" spans="1:24" ht="30" customHeight="1" thickBot="1">
      <c r="A3952" s="1165"/>
      <c r="B3952" s="1166"/>
      <c r="C3952" s="1166"/>
      <c r="D3952" s="1166"/>
      <c r="E3952" s="1166"/>
      <c r="F3952" s="1166"/>
      <c r="G3952" s="1166"/>
      <c r="H3952" s="1166"/>
      <c r="I3952" s="1166"/>
      <c r="J3952" s="1166"/>
      <c r="K3952" s="1166"/>
      <c r="L3952" s="1167"/>
      <c r="M3952" s="1146"/>
      <c r="N3952" s="193"/>
      <c r="O3952" s="34"/>
      <c r="P3952" s="159"/>
      <c r="Q3952" s="147"/>
      <c r="R3952" s="149"/>
      <c r="T3952" s="38"/>
      <c r="U3952" s="38"/>
      <c r="V3952" s="38"/>
      <c r="W3952" s="38"/>
      <c r="X3952" s="38"/>
    </row>
    <row r="3953" spans="1:24" s="38" customFormat="1" ht="30" customHeight="1">
      <c r="A3953" s="81" t="s">
        <v>280</v>
      </c>
      <c r="B3953" s="82">
        <v>8512</v>
      </c>
      <c r="C3953" s="1228" t="s">
        <v>2119</v>
      </c>
      <c r="D3953" s="1229"/>
      <c r="E3953" s="74" t="s">
        <v>282</v>
      </c>
      <c r="F3953" s="75" t="s">
        <v>3</v>
      </c>
      <c r="G3953" s="58" t="s">
        <v>290</v>
      </c>
      <c r="H3953" s="104">
        <v>66321</v>
      </c>
      <c r="I3953" s="74" t="s">
        <v>283</v>
      </c>
      <c r="J3953" s="1199" t="s">
        <v>2569</v>
      </c>
      <c r="K3953" s="1230"/>
      <c r="L3953" s="1231"/>
      <c r="M3953" s="1146"/>
      <c r="N3953" s="25"/>
      <c r="O3953" s="34"/>
      <c r="P3953" s="159"/>
      <c r="Q3953" s="147"/>
      <c r="R3953" s="149"/>
      <c r="T3953"/>
      <c r="U3953"/>
      <c r="V3953"/>
      <c r="W3953"/>
      <c r="X3953"/>
    </row>
    <row r="3954" spans="1:24" ht="30" customHeight="1">
      <c r="A3954" s="77" t="s">
        <v>293</v>
      </c>
      <c r="B3954" s="1232" t="s">
        <v>284</v>
      </c>
      <c r="C3954" s="1232"/>
      <c r="D3954" s="1232"/>
      <c r="E3954" s="96" t="s">
        <v>295</v>
      </c>
      <c r="F3954" s="77" t="s">
        <v>2</v>
      </c>
      <c r="G3954" s="1365" t="s">
        <v>332</v>
      </c>
      <c r="H3954" s="1366"/>
      <c r="I3954" s="1233" t="s">
        <v>426</v>
      </c>
      <c r="J3954" s="1234"/>
      <c r="K3954" s="1303" t="s">
        <v>297</v>
      </c>
      <c r="L3954" s="1304"/>
      <c r="M3954" s="1146"/>
      <c r="O3954"/>
      <c r="P3954" s="159"/>
      <c r="Q3954" s="147"/>
      <c r="R3954" s="149"/>
    </row>
    <row r="3955" spans="1:24" ht="30" customHeight="1">
      <c r="A3955" s="20">
        <v>93210</v>
      </c>
      <c r="B3955" s="1692" t="s">
        <v>1564</v>
      </c>
      <c r="C3955" s="1693"/>
      <c r="D3955" s="1694"/>
      <c r="E3955" s="153">
        <v>2.8</v>
      </c>
      <c r="F3955" s="316" t="s">
        <v>2104</v>
      </c>
      <c r="G3955" s="790">
        <v>0.33300000000000002</v>
      </c>
      <c r="H3955" s="267" t="s">
        <v>2105</v>
      </c>
      <c r="I3955" s="1546">
        <f>+'2019 MILCON Inflation Table'!$F$18</f>
        <v>0.94232233454704462</v>
      </c>
      <c r="J3955" s="1547"/>
      <c r="K3955" s="106">
        <f>+E3955*G3955*I3955</f>
        <v>0.87862134473166442</v>
      </c>
      <c r="L3955" s="97" t="s">
        <v>3</v>
      </c>
      <c r="M3955" s="1146"/>
      <c r="O3955" s="743"/>
      <c r="P3955" s="283"/>
      <c r="Q3955" s="282"/>
      <c r="R3955" s="284"/>
    </row>
    <row r="3956" spans="1:24" ht="30" customHeight="1">
      <c r="A3956" s="20">
        <v>93210</v>
      </c>
      <c r="B3956" s="1692" t="s">
        <v>2120</v>
      </c>
      <c r="C3956" s="1693"/>
      <c r="D3956" s="1694"/>
      <c r="E3956" s="153">
        <v>2.2999999999999998</v>
      </c>
      <c r="F3956" s="316" t="s">
        <v>3</v>
      </c>
      <c r="G3956" s="316"/>
      <c r="H3956" s="267"/>
      <c r="I3956" s="1546">
        <f>+'2019 MILCON Inflation Table'!$F$18</f>
        <v>0.94232233454704462</v>
      </c>
      <c r="J3956" s="1547"/>
      <c r="K3956" s="106">
        <f>+E3956*I3956</f>
        <v>2.1673413694582027</v>
      </c>
      <c r="L3956" s="97" t="s">
        <v>3</v>
      </c>
      <c r="M3956" s="1146"/>
      <c r="P3956" s="283"/>
      <c r="Q3956" s="282"/>
      <c r="R3956" s="284"/>
    </row>
    <row r="3957" spans="1:24" ht="30" customHeight="1">
      <c r="A3957" s="20">
        <v>85110</v>
      </c>
      <c r="B3957" s="1692" t="s">
        <v>2109</v>
      </c>
      <c r="C3957" s="1693"/>
      <c r="D3957" s="1694"/>
      <c r="E3957" s="153">
        <v>9.6999999999999993</v>
      </c>
      <c r="F3957" s="316" t="s">
        <v>3</v>
      </c>
      <c r="G3957" s="316"/>
      <c r="H3957" s="267"/>
      <c r="I3957" s="1546">
        <f>+'2019 MILCON Inflation Table'!$F$18</f>
        <v>0.94232233454704462</v>
      </c>
      <c r="J3957" s="1547"/>
      <c r="K3957" s="106">
        <f>+E3957*I3957</f>
        <v>9.1405266451063323</v>
      </c>
      <c r="L3957" s="97" t="s">
        <v>3</v>
      </c>
      <c r="M3957" s="1146"/>
      <c r="P3957" s="159"/>
      <c r="Q3957" s="147"/>
      <c r="R3957" s="149"/>
      <c r="T3957" s="44"/>
      <c r="U3957" s="34"/>
    </row>
    <row r="3958" spans="1:24" ht="30" customHeight="1" thickBot="1">
      <c r="A3958" s="20"/>
      <c r="B3958" s="1176" t="s">
        <v>2121</v>
      </c>
      <c r="C3958" s="1177"/>
      <c r="D3958" s="1178"/>
      <c r="E3958" s="181"/>
      <c r="F3958" s="338"/>
      <c r="G3958" s="181"/>
      <c r="H3958" s="339" t="s">
        <v>346</v>
      </c>
      <c r="I3958" s="18"/>
      <c r="J3958" s="79" t="s">
        <v>289</v>
      </c>
      <c r="K3958" s="107">
        <f>SUM(K3955:K3957)</f>
        <v>12.1864893592962</v>
      </c>
      <c r="L3958" s="97" t="s">
        <v>3</v>
      </c>
      <c r="M3958" s="1146"/>
      <c r="N3958" s="1103"/>
      <c r="P3958" s="441"/>
      <c r="Q3958" s="441"/>
      <c r="R3958" s="441"/>
      <c r="S3958" s="44"/>
      <c r="T3958" s="44"/>
      <c r="U3958" s="34"/>
    </row>
    <row r="3959" spans="1:24" ht="30" customHeight="1" thickBot="1">
      <c r="A3959" s="1165"/>
      <c r="B3959" s="1166"/>
      <c r="C3959" s="1166"/>
      <c r="D3959" s="1166"/>
      <c r="E3959" s="1166"/>
      <c r="F3959" s="1166"/>
      <c r="G3959" s="1166"/>
      <c r="H3959" s="1166"/>
      <c r="I3959" s="1166"/>
      <c r="J3959" s="1166"/>
      <c r="K3959" s="1166"/>
      <c r="L3959" s="1167"/>
      <c r="M3959" s="1146"/>
      <c r="N3959" s="1103"/>
      <c r="O3959" s="33"/>
      <c r="P3959" s="34"/>
      <c r="Q3959" s="34"/>
      <c r="R3959" s="34"/>
      <c r="S3959" s="44"/>
      <c r="T3959" s="44"/>
      <c r="U3959" s="441"/>
      <c r="V3959" s="59"/>
      <c r="W3959" s="59"/>
      <c r="X3959" s="59"/>
    </row>
    <row r="3960" spans="1:24" s="59" customFormat="1" ht="30" customHeight="1">
      <c r="A3960" s="162" t="s">
        <v>280</v>
      </c>
      <c r="B3960" s="163">
        <v>8513</v>
      </c>
      <c r="C3960" s="1379" t="s">
        <v>2122</v>
      </c>
      <c r="D3960" s="1380"/>
      <c r="E3960" s="216" t="s">
        <v>282</v>
      </c>
      <c r="F3960" s="217" t="s">
        <v>3</v>
      </c>
      <c r="G3960" s="58" t="s">
        <v>290</v>
      </c>
      <c r="H3960" s="245">
        <v>357</v>
      </c>
      <c r="I3960" s="216" t="s">
        <v>283</v>
      </c>
      <c r="J3960" s="1199" t="s">
        <v>2529</v>
      </c>
      <c r="K3960" s="1199"/>
      <c r="L3960" s="1200"/>
      <c r="M3960" s="1146"/>
      <c r="N3960" s="1103"/>
      <c r="O3960" s="33"/>
      <c r="P3960" s="34"/>
      <c r="Q3960" s="34"/>
      <c r="R3960" s="34"/>
      <c r="S3960" s="44"/>
      <c r="T3960" s="38"/>
      <c r="U3960" s="39"/>
      <c r="V3960" s="38"/>
      <c r="W3960" s="38"/>
      <c r="X3960" s="38"/>
    </row>
    <row r="3961" spans="1:24" s="38" customFormat="1" ht="30" customHeight="1">
      <c r="A3961" s="161" t="s">
        <v>304</v>
      </c>
      <c r="B3961" s="1634" t="s">
        <v>330</v>
      </c>
      <c r="C3961" s="1704"/>
      <c r="D3961" s="1635"/>
      <c r="E3961" s="793" t="s">
        <v>295</v>
      </c>
      <c r="F3961" s="793" t="s">
        <v>331</v>
      </c>
      <c r="G3961" s="1705" t="s">
        <v>332</v>
      </c>
      <c r="H3961" s="1706"/>
      <c r="I3961" s="794" t="s">
        <v>305</v>
      </c>
      <c r="J3961" s="794"/>
      <c r="K3961" s="1707" t="s">
        <v>297</v>
      </c>
      <c r="L3961" s="1708"/>
      <c r="M3961" s="1146"/>
      <c r="N3961" s="282"/>
      <c r="O3961" s="1119"/>
      <c r="T3961" s="32"/>
      <c r="U3961" s="34"/>
      <c r="V3961"/>
      <c r="W3961"/>
      <c r="X3961"/>
    </row>
    <row r="3962" spans="1:24" ht="30" customHeight="1">
      <c r="A3962" s="118" t="s">
        <v>473</v>
      </c>
      <c r="B3962" s="1513" t="s">
        <v>2818</v>
      </c>
      <c r="C3962" s="1514"/>
      <c r="D3962" s="1515"/>
      <c r="E3962" s="795">
        <f>+(68+232)/2</f>
        <v>150</v>
      </c>
      <c r="F3962" s="796" t="s">
        <v>8</v>
      </c>
      <c r="G3962" s="797">
        <v>9</v>
      </c>
      <c r="H3962" s="798" t="s">
        <v>517</v>
      </c>
      <c r="I3962" s="118">
        <v>1.04</v>
      </c>
      <c r="J3962" s="796"/>
      <c r="K3962" s="799">
        <f>+E3962*G3962*I3962</f>
        <v>1404</v>
      </c>
      <c r="L3962" s="796" t="s">
        <v>3</v>
      </c>
      <c r="M3962" s="1146"/>
      <c r="N3962" s="282"/>
      <c r="P3962" s="32"/>
      <c r="Q3962" s="32"/>
      <c r="R3962" s="32"/>
      <c r="S3962" s="32"/>
      <c r="T3962" s="32"/>
      <c r="U3962" s="32"/>
      <c r="V3962" s="32"/>
      <c r="W3962" s="32"/>
      <c r="X3962" s="32"/>
    </row>
    <row r="3963" spans="1:24" s="32" customFormat="1" ht="30" customHeight="1">
      <c r="A3963" s="20"/>
      <c r="B3963" s="157"/>
      <c r="C3963" s="157"/>
      <c r="D3963" s="157"/>
      <c r="E3963" s="153"/>
      <c r="F3963" s="1174" t="s">
        <v>308</v>
      </c>
      <c r="G3963" s="1208" t="s">
        <v>309</v>
      </c>
      <c r="H3963" s="1208"/>
      <c r="I3963" s="1208"/>
      <c r="J3963" s="1208"/>
      <c r="K3963" s="123">
        <v>1.07</v>
      </c>
      <c r="L3963" s="10"/>
      <c r="M3963" s="1146"/>
      <c r="N3963" s="1103"/>
      <c r="O3963" s="1119"/>
      <c r="T3963"/>
    </row>
    <row r="3964" spans="1:24" s="32" customFormat="1" ht="30" customHeight="1">
      <c r="A3964" s="20"/>
      <c r="B3964" s="157"/>
      <c r="C3964" s="157"/>
      <c r="D3964" s="157"/>
      <c r="E3964" s="153"/>
      <c r="F3964" s="1175"/>
      <c r="G3964" s="1209" t="s">
        <v>310</v>
      </c>
      <c r="H3964" s="1209"/>
      <c r="I3964" s="1209"/>
      <c r="J3964" s="1209"/>
      <c r="K3964" s="123">
        <v>1.07</v>
      </c>
      <c r="L3964" s="10"/>
      <c r="M3964" s="1146"/>
      <c r="N3964" s="1103"/>
      <c r="O3964" s="1119"/>
      <c r="P3964"/>
      <c r="Q3964"/>
      <c r="R3964"/>
      <c r="S3964"/>
      <c r="T3964"/>
    </row>
    <row r="3965" spans="1:24" s="32" customFormat="1" ht="30" customHeight="1">
      <c r="A3965" s="10"/>
      <c r="B3965" s="10"/>
      <c r="C3965" s="13"/>
      <c r="D3965" s="13"/>
      <c r="E3965" s="13"/>
      <c r="F3965" s="13"/>
      <c r="G3965" s="13"/>
      <c r="H3965" s="13"/>
      <c r="I3965" s="13"/>
      <c r="J3965" s="10" t="s">
        <v>289</v>
      </c>
      <c r="K3965" s="14">
        <f>+K3962*K3963/K3964</f>
        <v>1404</v>
      </c>
      <c r="L3965" s="10" t="s">
        <v>3</v>
      </c>
      <c r="M3965" s="1146"/>
      <c r="N3965" s="1103"/>
      <c r="O3965" s="1119"/>
      <c r="P3965"/>
      <c r="Q3965"/>
      <c r="R3965"/>
      <c r="S3965"/>
      <c r="T3965"/>
    </row>
    <row r="3966" spans="1:24" s="32" customFormat="1" ht="30" customHeight="1">
      <c r="A3966" s="10"/>
      <c r="B3966" s="10"/>
      <c r="C3966" s="13"/>
      <c r="D3966" s="13"/>
      <c r="E3966" s="13"/>
      <c r="F3966" s="13"/>
      <c r="G3966" s="226"/>
      <c r="H3966" s="13"/>
      <c r="I3966" s="461" t="s">
        <v>385</v>
      </c>
      <c r="J3966" s="139">
        <f>VLOOKUP(B3960,'Mil Cost Premiums for RUCs'!$A$4:$R$266,18,FALSE)</f>
        <v>1.1199953840399997</v>
      </c>
      <c r="K3966" s="14">
        <f>+K3965*J3966</f>
        <v>1572.4735191921595</v>
      </c>
      <c r="L3966" s="10" t="s">
        <v>3</v>
      </c>
      <c r="M3966" s="1146"/>
      <c r="N3966" s="226"/>
      <c r="O3966" s="1119"/>
      <c r="P3966"/>
      <c r="Q3966"/>
      <c r="R3966"/>
      <c r="S3966"/>
      <c r="T3966" s="44"/>
      <c r="U3966"/>
      <c r="V3966"/>
      <c r="W3966"/>
      <c r="X3966"/>
    </row>
    <row r="3967" spans="1:24" ht="60" customHeight="1">
      <c r="A3967" s="1336" t="s">
        <v>313</v>
      </c>
      <c r="B3967" s="1315"/>
      <c r="C3967" s="1315"/>
      <c r="D3967" s="1315"/>
      <c r="E3967" s="1315"/>
      <c r="F3967" s="1315"/>
      <c r="G3967" s="1315"/>
      <c r="H3967" s="1315"/>
      <c r="I3967" s="1315"/>
      <c r="J3967" s="1315"/>
      <c r="K3967" s="1315"/>
      <c r="L3967" s="1316"/>
      <c r="M3967" s="1146"/>
      <c r="N3967" s="193"/>
      <c r="P3967" s="34"/>
      <c r="Q3967" s="34"/>
      <c r="R3967" s="34"/>
      <c r="S3967" s="44"/>
      <c r="T3967" s="44"/>
    </row>
    <row r="3968" spans="1:24" ht="30" customHeight="1">
      <c r="A3968" s="1406" t="s">
        <v>314</v>
      </c>
      <c r="B3968" s="1407"/>
      <c r="C3968" s="1408"/>
      <c r="D3968" s="1270" t="s">
        <v>2123</v>
      </c>
      <c r="E3968" s="1371"/>
      <c r="F3968" s="1371"/>
      <c r="G3968" s="1371"/>
      <c r="H3968" s="1371"/>
      <c r="I3968" s="1371"/>
      <c r="J3968" s="1371"/>
      <c r="K3968" s="1371"/>
      <c r="L3968" s="1372"/>
      <c r="M3968" s="1146"/>
      <c r="O3968" s="85"/>
      <c r="P3968" s="34"/>
      <c r="Q3968" s="34"/>
      <c r="R3968" s="34"/>
      <c r="S3968" s="44"/>
      <c r="T3968" s="44"/>
      <c r="U3968" s="34"/>
    </row>
    <row r="3969" spans="1:24" ht="30" customHeight="1">
      <c r="A3969" s="1406" t="s">
        <v>316</v>
      </c>
      <c r="B3969" s="1407"/>
      <c r="C3969" s="1408"/>
      <c r="D3969" s="1270" t="s">
        <v>2124</v>
      </c>
      <c r="E3969" s="1371"/>
      <c r="F3969" s="1371"/>
      <c r="G3969" s="1371"/>
      <c r="H3969" s="1371"/>
      <c r="I3969" s="1371"/>
      <c r="J3969" s="1371"/>
      <c r="K3969" s="1371"/>
      <c r="L3969" s="1372"/>
      <c r="M3969" s="1146"/>
      <c r="N3969" s="125"/>
      <c r="O3969" s="85"/>
      <c r="P3969" s="34"/>
      <c r="Q3969" s="34"/>
      <c r="R3969" s="34"/>
      <c r="S3969" s="44"/>
      <c r="T3969" s="44"/>
      <c r="U3969" s="34"/>
    </row>
    <row r="3970" spans="1:24" ht="30" customHeight="1">
      <c r="A3970" s="1406" t="s">
        <v>317</v>
      </c>
      <c r="B3970" s="1407"/>
      <c r="C3970" s="1408"/>
      <c r="D3970" s="1270" t="s">
        <v>2819</v>
      </c>
      <c r="E3970" s="1371"/>
      <c r="F3970" s="1371"/>
      <c r="G3970" s="1371"/>
      <c r="H3970" s="1371"/>
      <c r="I3970" s="1371"/>
      <c r="J3970" s="1371"/>
      <c r="K3970" s="1371"/>
      <c r="L3970" s="1372"/>
      <c r="M3970" s="1146"/>
      <c r="N3970" s="125"/>
      <c r="O3970" s="85"/>
      <c r="P3970" s="34"/>
      <c r="Q3970" s="34"/>
      <c r="R3970" s="34"/>
      <c r="S3970" s="44"/>
      <c r="T3970" s="34"/>
    </row>
    <row r="3971" spans="1:24" ht="30" customHeight="1">
      <c r="A3971" s="1406" t="s">
        <v>318</v>
      </c>
      <c r="B3971" s="1407"/>
      <c r="C3971" s="1408"/>
      <c r="D3971" s="1270" t="s">
        <v>2125</v>
      </c>
      <c r="E3971" s="1371"/>
      <c r="F3971" s="1371"/>
      <c r="G3971" s="1371"/>
      <c r="H3971" s="1371"/>
      <c r="I3971" s="1371"/>
      <c r="J3971" s="1371"/>
      <c r="K3971" s="1371"/>
      <c r="L3971" s="1372"/>
      <c r="M3971" s="1146"/>
      <c r="N3971" s="125"/>
      <c r="O3971" s="85"/>
      <c r="P3971" s="34"/>
      <c r="Q3971" s="34"/>
      <c r="R3971" s="44"/>
      <c r="S3971" s="44"/>
      <c r="T3971" s="39"/>
      <c r="U3971" s="38"/>
      <c r="V3971" s="38"/>
      <c r="W3971" s="38"/>
      <c r="X3971" s="38"/>
    </row>
    <row r="3972" spans="1:24" s="38" customFormat="1" ht="30" customHeight="1">
      <c r="A3972" s="1406" t="s">
        <v>320</v>
      </c>
      <c r="B3972" s="1407"/>
      <c r="C3972" s="1408"/>
      <c r="D3972" s="1270" t="s">
        <v>2126</v>
      </c>
      <c r="E3972" s="1371"/>
      <c r="F3972" s="1371"/>
      <c r="G3972" s="1371"/>
      <c r="H3972" s="1371"/>
      <c r="I3972" s="1371"/>
      <c r="J3972" s="1371"/>
      <c r="K3972" s="1371"/>
      <c r="L3972" s="1372"/>
      <c r="M3972" s="1146"/>
      <c r="N3972" s="25"/>
      <c r="O3972" s="85"/>
      <c r="P3972" s="39"/>
      <c r="Q3972" s="39"/>
      <c r="R3972" s="84"/>
      <c r="S3972" s="84"/>
      <c r="T3972" s="34"/>
      <c r="U3972"/>
      <c r="V3972"/>
      <c r="W3972"/>
      <c r="X3972"/>
    </row>
    <row r="3973" spans="1:24" ht="30" customHeight="1">
      <c r="A3973" s="1406" t="s">
        <v>322</v>
      </c>
      <c r="B3973" s="1407"/>
      <c r="C3973" s="1408"/>
      <c r="D3973" s="1270" t="s">
        <v>1891</v>
      </c>
      <c r="E3973" s="1371"/>
      <c r="F3973" s="1371"/>
      <c r="G3973" s="1371"/>
      <c r="H3973" s="1371"/>
      <c r="I3973" s="1371"/>
      <c r="J3973" s="1371"/>
      <c r="K3973" s="1371"/>
      <c r="L3973" s="1372"/>
      <c r="M3973" s="1146"/>
      <c r="O3973" s="85"/>
      <c r="P3973" s="34"/>
      <c r="Q3973" s="34"/>
      <c r="R3973" s="44"/>
      <c r="S3973" s="44"/>
      <c r="T3973" s="34"/>
    </row>
    <row r="3974" spans="1:24" ht="30" customHeight="1">
      <c r="A3974" s="1406" t="s">
        <v>324</v>
      </c>
      <c r="B3974" s="1407"/>
      <c r="C3974" s="1408"/>
      <c r="D3974" s="1270" t="s">
        <v>2067</v>
      </c>
      <c r="E3974" s="1371"/>
      <c r="F3974" s="1371"/>
      <c r="G3974" s="1371"/>
      <c r="H3974" s="1371"/>
      <c r="I3974" s="1371"/>
      <c r="J3974" s="1371"/>
      <c r="K3974" s="1371"/>
      <c r="L3974" s="1372"/>
      <c r="M3974" s="1146"/>
      <c r="O3974" s="85"/>
      <c r="P3974" s="34"/>
      <c r="Q3974" s="34"/>
      <c r="R3974" s="44"/>
      <c r="S3974" s="44"/>
      <c r="T3974" s="34"/>
    </row>
    <row r="3975" spans="1:24" ht="30" customHeight="1">
      <c r="A3975" s="1406" t="s">
        <v>325</v>
      </c>
      <c r="B3975" s="1407"/>
      <c r="C3975" s="1408"/>
      <c r="D3975" s="1270" t="s">
        <v>326</v>
      </c>
      <c r="E3975" s="1371"/>
      <c r="F3975" s="1371"/>
      <c r="G3975" s="1371"/>
      <c r="H3975" s="1371"/>
      <c r="I3975" s="1371"/>
      <c r="J3975" s="1371"/>
      <c r="K3975" s="1371"/>
      <c r="L3975" s="1372"/>
      <c r="M3975" s="1146"/>
      <c r="O3975" s="85"/>
      <c r="P3975" s="34"/>
      <c r="Q3975" s="34"/>
      <c r="R3975" s="44"/>
      <c r="S3975" s="44"/>
      <c r="T3975" s="34"/>
    </row>
    <row r="3976" spans="1:24" ht="45" customHeight="1" thickBot="1">
      <c r="A3976" s="1602" t="s">
        <v>327</v>
      </c>
      <c r="B3976" s="1603"/>
      <c r="C3976" s="1604"/>
      <c r="D3976" s="1270" t="s">
        <v>2823</v>
      </c>
      <c r="E3976" s="1371"/>
      <c r="F3976" s="1371"/>
      <c r="G3976" s="1371"/>
      <c r="H3976" s="1371"/>
      <c r="I3976" s="1371"/>
      <c r="J3976" s="1371"/>
      <c r="K3976" s="1371"/>
      <c r="L3976" s="1372"/>
      <c r="M3976" s="1146"/>
      <c r="O3976" s="85"/>
      <c r="P3976" s="34"/>
      <c r="Q3976" s="34"/>
      <c r="R3976" s="44"/>
      <c r="S3976" s="44"/>
      <c r="T3976" s="34"/>
    </row>
    <row r="3977" spans="1:24" ht="30" customHeight="1" thickBot="1">
      <c r="A3977" s="1165"/>
      <c r="B3977" s="1166"/>
      <c r="C3977" s="1166"/>
      <c r="D3977" s="1166"/>
      <c r="E3977" s="1166"/>
      <c r="F3977" s="1166"/>
      <c r="G3977" s="1166"/>
      <c r="H3977" s="1166"/>
      <c r="I3977" s="1166"/>
      <c r="J3977" s="1166"/>
      <c r="K3977" s="1166"/>
      <c r="L3977" s="1167"/>
      <c r="M3977" s="1146"/>
      <c r="O3977" s="85"/>
      <c r="P3977" s="34"/>
      <c r="Q3977" s="34"/>
      <c r="R3977" s="44"/>
      <c r="S3977" s="44"/>
      <c r="T3977" s="34"/>
    </row>
    <row r="3978" spans="1:24" ht="30" customHeight="1">
      <c r="A3978" s="27" t="s">
        <v>280</v>
      </c>
      <c r="B3978" s="28">
        <v>8514</v>
      </c>
      <c r="C3978" s="1197" t="s">
        <v>2816</v>
      </c>
      <c r="D3978" s="1198"/>
      <c r="E3978" s="74" t="s">
        <v>282</v>
      </c>
      <c r="F3978" s="75" t="s">
        <v>8</v>
      </c>
      <c r="G3978" s="58" t="s">
        <v>281</v>
      </c>
      <c r="H3978" s="76">
        <v>73000</v>
      </c>
      <c r="I3978" s="74" t="s">
        <v>283</v>
      </c>
      <c r="J3978" s="1199" t="s">
        <v>2529</v>
      </c>
      <c r="K3978" s="1199"/>
      <c r="L3978" s="1200"/>
      <c r="M3978" s="1146"/>
      <c r="N3978" s="193"/>
      <c r="O3978" s="85"/>
      <c r="P3978" s="34"/>
      <c r="Q3978" s="34"/>
      <c r="R3978" s="44"/>
      <c r="S3978" s="44"/>
      <c r="T3978" s="34"/>
    </row>
    <row r="3979" spans="1:24" ht="30" customHeight="1">
      <c r="A3979" s="37" t="s">
        <v>304</v>
      </c>
      <c r="B3979" s="1709" t="s">
        <v>330</v>
      </c>
      <c r="C3979" s="1709"/>
      <c r="D3979" s="1709"/>
      <c r="E3979" s="150" t="s">
        <v>295</v>
      </c>
      <c r="F3979" s="150" t="s">
        <v>331</v>
      </c>
      <c r="G3979" s="1204" t="s">
        <v>332</v>
      </c>
      <c r="H3979" s="1205"/>
      <c r="I3979" s="77" t="s">
        <v>305</v>
      </c>
      <c r="J3979" s="77"/>
      <c r="K3979" s="1303" t="s">
        <v>297</v>
      </c>
      <c r="L3979" s="1304"/>
      <c r="M3979" s="1146"/>
      <c r="O3979" s="85"/>
      <c r="P3979" s="34"/>
      <c r="Q3979" s="34"/>
      <c r="R3979" s="44"/>
      <c r="S3979" s="44"/>
      <c r="T3979" s="34"/>
    </row>
    <row r="3980" spans="1:24" ht="30" customHeight="1">
      <c r="A3980" s="45" t="s">
        <v>1707</v>
      </c>
      <c r="B3980" s="1307" t="s">
        <v>2127</v>
      </c>
      <c r="C3980" s="1307"/>
      <c r="D3980" s="1307"/>
      <c r="E3980" s="335">
        <v>510</v>
      </c>
      <c r="F3980" s="22" t="s">
        <v>8</v>
      </c>
      <c r="G3980" s="780"/>
      <c r="H3980" s="333"/>
      <c r="I3980" s="20">
        <v>1.07</v>
      </c>
      <c r="J3980" s="22"/>
      <c r="K3980" s="23">
        <f>E3980*I3980</f>
        <v>545.70000000000005</v>
      </c>
      <c r="L3980" s="22" t="s">
        <v>8</v>
      </c>
      <c r="M3980" s="1146"/>
      <c r="O3980" s="85"/>
      <c r="P3980" s="34"/>
      <c r="Q3980" s="34"/>
      <c r="R3980" s="44"/>
      <c r="S3980" s="44"/>
      <c r="T3980" s="34"/>
    </row>
    <row r="3981" spans="1:24" ht="30" customHeight="1">
      <c r="A3981" s="45"/>
      <c r="B3981" s="189"/>
      <c r="C3981" s="189"/>
      <c r="D3981" s="189"/>
      <c r="E3981" s="153"/>
      <c r="F3981" s="1174" t="s">
        <v>308</v>
      </c>
      <c r="G3981" s="1208" t="s">
        <v>309</v>
      </c>
      <c r="H3981" s="1208"/>
      <c r="I3981" s="1208"/>
      <c r="J3981" s="1208"/>
      <c r="K3981" s="123">
        <v>1.06</v>
      </c>
      <c r="L3981" s="10"/>
      <c r="M3981" s="1146"/>
      <c r="O3981" s="85"/>
      <c r="P3981" s="34"/>
      <c r="Q3981" s="34"/>
      <c r="R3981" s="44"/>
      <c r="S3981" s="44"/>
      <c r="T3981" s="34"/>
    </row>
    <row r="3982" spans="1:24" ht="30" customHeight="1">
      <c r="A3982" s="45"/>
      <c r="B3982" s="189"/>
      <c r="C3982" s="189"/>
      <c r="D3982" s="189"/>
      <c r="E3982" s="153"/>
      <c r="F3982" s="1175"/>
      <c r="G3982" s="1209" t="s">
        <v>310</v>
      </c>
      <c r="H3982" s="1209"/>
      <c r="I3982" s="1209"/>
      <c r="J3982" s="1209"/>
      <c r="K3982" s="123">
        <v>1.07</v>
      </c>
      <c r="L3982" s="10"/>
      <c r="M3982" s="1146"/>
      <c r="O3982" s="85"/>
      <c r="P3982" s="34"/>
      <c r="Q3982" s="34"/>
      <c r="R3982" s="44"/>
      <c r="S3982" s="44"/>
      <c r="T3982" s="34"/>
    </row>
    <row r="3983" spans="1:24" ht="30" customHeight="1">
      <c r="A3983" s="45"/>
      <c r="B3983" s="1710" t="s">
        <v>2910</v>
      </c>
      <c r="C3983" s="1711"/>
      <c r="D3983" s="1712"/>
      <c r="E3983" s="18"/>
      <c r="F3983" s="18"/>
      <c r="G3983" s="18"/>
      <c r="H3983" s="18"/>
      <c r="I3983" s="18"/>
      <c r="J3983" s="20" t="s">
        <v>289</v>
      </c>
      <c r="K3983" s="23">
        <f>+K3980*K3981/K3982</f>
        <v>540.60000000000014</v>
      </c>
      <c r="L3983" s="20" t="s">
        <v>8</v>
      </c>
      <c r="M3983" s="1146"/>
      <c r="O3983" s="85"/>
      <c r="P3983" s="34"/>
      <c r="Q3983" s="34"/>
      <c r="R3983" s="44"/>
      <c r="S3983" s="44"/>
      <c r="T3983" s="34"/>
    </row>
    <row r="3984" spans="1:24" ht="30" customHeight="1" thickBot="1">
      <c r="A3984" s="45"/>
      <c r="B3984" s="1713"/>
      <c r="C3984" s="1714"/>
      <c r="D3984" s="1715"/>
      <c r="E3984" s="18"/>
      <c r="F3984" s="18"/>
      <c r="G3984" s="160" t="s">
        <v>312</v>
      </c>
      <c r="H3984" s="18"/>
      <c r="I3984" s="18"/>
      <c r="J3984" s="139">
        <f>VLOOKUP(B3978,'Mil Cost Premiums for RUCs'!$A$4:$R$266,18,FALSE)</f>
        <v>1.1199953840399997</v>
      </c>
      <c r="K3984" s="23">
        <f>+K3983*J3984</f>
        <v>605.46950461202391</v>
      </c>
      <c r="L3984" s="20" t="s">
        <v>8</v>
      </c>
      <c r="M3984" s="1146"/>
      <c r="O3984" s="85"/>
      <c r="P3984" s="34"/>
      <c r="Q3984" s="34"/>
      <c r="R3984" s="44"/>
      <c r="S3984" s="44"/>
      <c r="T3984" s="34"/>
    </row>
    <row r="3985" spans="1:24" ht="30" customHeight="1" thickBot="1">
      <c r="A3985" s="1165"/>
      <c r="B3985" s="1166"/>
      <c r="C3985" s="1166"/>
      <c r="D3985" s="1166"/>
      <c r="E3985" s="1166"/>
      <c r="F3985" s="1166"/>
      <c r="G3985" s="1166"/>
      <c r="H3985" s="1166"/>
      <c r="I3985" s="1166"/>
      <c r="J3985" s="1166"/>
      <c r="K3985" s="1166"/>
      <c r="L3985" s="1167"/>
      <c r="M3985" s="1146"/>
      <c r="P3985" s="34"/>
      <c r="Q3985" s="34"/>
      <c r="R3985" s="44"/>
      <c r="S3985" s="44"/>
      <c r="T3985" s="34"/>
    </row>
    <row r="3986" spans="1:24" ht="30" customHeight="1">
      <c r="A3986" s="108" t="s">
        <v>280</v>
      </c>
      <c r="B3986" s="109">
        <v>8521</v>
      </c>
      <c r="C3986" s="1687" t="s">
        <v>2129</v>
      </c>
      <c r="D3986" s="1688"/>
      <c r="E3986" s="216" t="s">
        <v>282</v>
      </c>
      <c r="F3986" s="217" t="s">
        <v>3</v>
      </c>
      <c r="G3986" s="58" t="s">
        <v>290</v>
      </c>
      <c r="H3986" s="245">
        <v>11590</v>
      </c>
      <c r="I3986" s="216" t="s">
        <v>283</v>
      </c>
      <c r="J3986" s="1199" t="s">
        <v>2529</v>
      </c>
      <c r="K3986" s="1199"/>
      <c r="L3986" s="1200"/>
      <c r="M3986" s="1146"/>
      <c r="P3986" s="34"/>
      <c r="Q3986" s="34"/>
      <c r="R3986" s="44"/>
      <c r="S3986" s="44"/>
      <c r="T3986" s="34"/>
    </row>
    <row r="3987" spans="1:24" ht="30" customHeight="1">
      <c r="A3987" s="294" t="s">
        <v>304</v>
      </c>
      <c r="B3987" s="1436" t="s">
        <v>330</v>
      </c>
      <c r="C3987" s="1437"/>
      <c r="D3987" s="1438"/>
      <c r="E3987" s="219" t="s">
        <v>295</v>
      </c>
      <c r="F3987" s="219" t="s">
        <v>331</v>
      </c>
      <c r="G3987" s="1327" t="s">
        <v>332</v>
      </c>
      <c r="H3987" s="1328"/>
      <c r="I3987" s="167" t="s">
        <v>305</v>
      </c>
      <c r="J3987" s="167"/>
      <c r="K3987" s="1303" t="s">
        <v>297</v>
      </c>
      <c r="L3987" s="1304"/>
      <c r="M3987" s="1146"/>
      <c r="P3987" s="34"/>
      <c r="Q3987" s="34"/>
      <c r="R3987" s="44"/>
      <c r="S3987" s="44"/>
      <c r="T3987" s="44"/>
      <c r="U3987" s="34"/>
    </row>
    <row r="3988" spans="1:24" ht="30" customHeight="1">
      <c r="A3988" s="24" t="s">
        <v>473</v>
      </c>
      <c r="B3988" s="46" t="s">
        <v>2130</v>
      </c>
      <c r="C3988" s="208"/>
      <c r="D3988" s="155"/>
      <c r="E3988" s="331">
        <v>81.5</v>
      </c>
      <c r="F3988" s="800" t="s">
        <v>2131</v>
      </c>
      <c r="G3988" s="296">
        <v>35</v>
      </c>
      <c r="H3988" s="801" t="s">
        <v>2132</v>
      </c>
      <c r="I3988" s="10">
        <v>1.05</v>
      </c>
      <c r="J3988" s="10"/>
      <c r="K3988" s="298">
        <f>+E3988/G3988*I3988</f>
        <v>2.4450000000000003</v>
      </c>
      <c r="L3988" s="5" t="s">
        <v>3</v>
      </c>
      <c r="M3988" s="1146"/>
      <c r="P3988" s="34"/>
      <c r="Q3988" s="34"/>
      <c r="R3988" s="34"/>
      <c r="S3988" s="44"/>
      <c r="T3988" s="44"/>
      <c r="U3988" s="34"/>
    </row>
    <row r="3989" spans="1:24" ht="30" customHeight="1">
      <c r="A3989" s="24" t="s">
        <v>473</v>
      </c>
      <c r="B3989" s="1383" t="s">
        <v>2133</v>
      </c>
      <c r="C3989" s="1384"/>
      <c r="D3989" s="1385"/>
      <c r="E3989" s="335">
        <v>165</v>
      </c>
      <c r="F3989" s="800" t="s">
        <v>2131</v>
      </c>
      <c r="G3989" s="296">
        <v>35</v>
      </c>
      <c r="H3989" s="801" t="s">
        <v>2132</v>
      </c>
      <c r="I3989" s="10">
        <v>1.05</v>
      </c>
      <c r="J3989" s="10"/>
      <c r="K3989" s="298">
        <f>+E3989/G3989*I3989</f>
        <v>4.95</v>
      </c>
      <c r="L3989" s="5" t="s">
        <v>3</v>
      </c>
      <c r="M3989" s="1146"/>
      <c r="N3989" s="746"/>
      <c r="P3989" s="34"/>
      <c r="Q3989" s="34"/>
      <c r="R3989" s="34"/>
      <c r="S3989" s="44"/>
      <c r="T3989" s="44"/>
      <c r="U3989" s="34"/>
    </row>
    <row r="3990" spans="1:24" ht="30" customHeight="1">
      <c r="A3990" s="24" t="s">
        <v>473</v>
      </c>
      <c r="B3990" s="47" t="s">
        <v>2134</v>
      </c>
      <c r="C3990" s="232"/>
      <c r="D3990" s="233"/>
      <c r="E3990" s="299">
        <v>715</v>
      </c>
      <c r="F3990" s="800" t="s">
        <v>2131</v>
      </c>
      <c r="G3990" s="296">
        <v>35</v>
      </c>
      <c r="H3990" s="801" t="s">
        <v>2132</v>
      </c>
      <c r="I3990" s="10">
        <v>1.05</v>
      </c>
      <c r="J3990" s="10"/>
      <c r="K3990" s="298">
        <f>+E3990/G3990*I3990</f>
        <v>21.45</v>
      </c>
      <c r="L3990" s="5" t="s">
        <v>3</v>
      </c>
      <c r="M3990" s="1146"/>
      <c r="P3990" s="34"/>
      <c r="Q3990" s="34"/>
      <c r="R3990" s="34"/>
      <c r="S3990" s="44"/>
      <c r="T3990" s="44"/>
      <c r="U3990" s="34"/>
    </row>
    <row r="3991" spans="1:24" ht="30" customHeight="1">
      <c r="A3991" s="24" t="s">
        <v>473</v>
      </c>
      <c r="B3991" s="47" t="s">
        <v>2135</v>
      </c>
      <c r="C3991" s="232"/>
      <c r="D3991" s="233"/>
      <c r="E3991" s="299">
        <v>19.75</v>
      </c>
      <c r="F3991" s="800" t="s">
        <v>2131</v>
      </c>
      <c r="G3991" s="296">
        <v>35</v>
      </c>
      <c r="H3991" s="801" t="s">
        <v>2132</v>
      </c>
      <c r="I3991" s="10">
        <v>1.05</v>
      </c>
      <c r="J3991" s="10"/>
      <c r="K3991" s="298">
        <f>+E3991/G3991*I3991</f>
        <v>0.59250000000000003</v>
      </c>
      <c r="L3991" s="5" t="s">
        <v>3</v>
      </c>
      <c r="M3991" s="1146"/>
      <c r="P3991" s="34"/>
      <c r="Q3991" s="34"/>
      <c r="R3991" s="34"/>
      <c r="S3991" s="44"/>
      <c r="T3991" s="44"/>
      <c r="U3991" s="34"/>
    </row>
    <row r="3992" spans="1:24" ht="30" customHeight="1">
      <c r="A3992" s="24" t="s">
        <v>473</v>
      </c>
      <c r="B3992" s="46" t="s">
        <v>2136</v>
      </c>
      <c r="C3992" s="468"/>
      <c r="D3992" s="469"/>
      <c r="E3992" s="299">
        <v>180</v>
      </c>
      <c r="F3992" s="800" t="s">
        <v>2131</v>
      </c>
      <c r="G3992" s="296">
        <v>35</v>
      </c>
      <c r="H3992" s="801" t="s">
        <v>2132</v>
      </c>
      <c r="I3992" s="10">
        <v>1.05</v>
      </c>
      <c r="J3992" s="10"/>
      <c r="K3992" s="298">
        <f>+E3992/G3992*I3992</f>
        <v>5.4</v>
      </c>
      <c r="L3992" s="5" t="s">
        <v>3</v>
      </c>
      <c r="M3992" s="1146"/>
      <c r="O3992" s="85"/>
      <c r="P3992" s="34"/>
      <c r="Q3992" s="34"/>
      <c r="R3992" s="34"/>
      <c r="S3992" s="44"/>
      <c r="T3992" s="44"/>
      <c r="U3992" s="34"/>
    </row>
    <row r="3993" spans="1:24" ht="30" customHeight="1">
      <c r="A3993" s="47"/>
      <c r="B3993" s="1329" t="s">
        <v>2137</v>
      </c>
      <c r="C3993" s="1329"/>
      <c r="D3993" s="1329"/>
      <c r="E3993" s="115"/>
      <c r="F3993" s="10"/>
      <c r="G3993" s="10"/>
      <c r="H3993" s="10"/>
      <c r="I3993" s="10"/>
      <c r="J3993" s="10" t="s">
        <v>346</v>
      </c>
      <c r="K3993" s="304">
        <f>SUM(K3988:K3992)</f>
        <v>34.837499999999999</v>
      </c>
      <c r="L3993" s="10" t="s">
        <v>3</v>
      </c>
      <c r="M3993" s="1146"/>
      <c r="O3993" s="85"/>
      <c r="P3993" s="34"/>
      <c r="Q3993" s="34"/>
      <c r="R3993" s="34"/>
      <c r="S3993" s="44"/>
      <c r="T3993" s="44"/>
      <c r="U3993" s="34"/>
    </row>
    <row r="3994" spans="1:24" ht="30" customHeight="1">
      <c r="A3994" s="45"/>
      <c r="B3994" s="189"/>
      <c r="C3994" s="189"/>
      <c r="D3994" s="189"/>
      <c r="E3994" s="153"/>
      <c r="F3994" s="1174" t="s">
        <v>308</v>
      </c>
      <c r="G3994" s="1208" t="s">
        <v>309</v>
      </c>
      <c r="H3994" s="1208"/>
      <c r="I3994" s="1208"/>
      <c r="J3994" s="1208"/>
      <c r="K3994" s="123">
        <v>1.06</v>
      </c>
      <c r="L3994" s="10"/>
      <c r="M3994" s="1146"/>
      <c r="O3994" s="85"/>
      <c r="P3994" s="34"/>
      <c r="Q3994" s="34"/>
      <c r="R3994" s="34"/>
      <c r="S3994" s="44"/>
      <c r="T3994" s="34"/>
    </row>
    <row r="3995" spans="1:24" ht="30" customHeight="1">
      <c r="A3995" s="45"/>
      <c r="B3995" s="189"/>
      <c r="C3995" s="189"/>
      <c r="D3995" s="189"/>
      <c r="E3995" s="153"/>
      <c r="F3995" s="1175"/>
      <c r="G3995" s="1209" t="s">
        <v>310</v>
      </c>
      <c r="H3995" s="1209"/>
      <c r="I3995" s="1209"/>
      <c r="J3995" s="1209"/>
      <c r="K3995" s="123">
        <v>1.07</v>
      </c>
      <c r="L3995" s="10"/>
      <c r="M3995" s="1146"/>
      <c r="O3995" s="85"/>
      <c r="P3995" s="34"/>
      <c r="Q3995" s="34"/>
      <c r="R3995" s="44"/>
      <c r="S3995" s="44"/>
      <c r="T3995" s="39"/>
      <c r="U3995" s="38"/>
      <c r="V3995" s="38"/>
      <c r="W3995" s="38"/>
      <c r="X3995" s="38"/>
    </row>
    <row r="3996" spans="1:24" s="38" customFormat="1" ht="30" customHeight="1">
      <c r="A3996" s="47"/>
      <c r="B3996" s="24"/>
      <c r="C3996" s="47"/>
      <c r="D3996" s="47"/>
      <c r="E3996" s="13"/>
      <c r="F3996" s="13"/>
      <c r="G3996" s="13"/>
      <c r="H3996" s="13"/>
      <c r="I3996" s="13"/>
      <c r="J3996" s="10" t="s">
        <v>289</v>
      </c>
      <c r="K3996" s="14">
        <f>+K3993*K3994/K3995</f>
        <v>34.511915887850471</v>
      </c>
      <c r="L3996" s="10" t="s">
        <v>3</v>
      </c>
      <c r="M3996" s="1146"/>
      <c r="N3996" s="25"/>
      <c r="O3996" s="85"/>
      <c r="P3996" s="39"/>
      <c r="Q3996" s="39"/>
      <c r="R3996" s="84"/>
      <c r="S3996" s="84"/>
      <c r="T3996" s="34"/>
      <c r="U3996"/>
      <c r="V3996"/>
      <c r="W3996"/>
      <c r="X3996"/>
    </row>
    <row r="3997" spans="1:24" ht="30" customHeight="1">
      <c r="A3997" s="47"/>
      <c r="B3997" s="24"/>
      <c r="C3997" s="47"/>
      <c r="D3997" s="47"/>
      <c r="E3997" s="13"/>
      <c r="F3997" s="13"/>
      <c r="G3997" s="235" t="s">
        <v>385</v>
      </c>
      <c r="H3997" s="13"/>
      <c r="I3997" s="13"/>
      <c r="J3997" s="139">
        <f>VLOOKUP(B3986,'Mil Cost Premiums for RUCs'!$A$4:$R$266,18,FALSE)</f>
        <v>1.1199953840399997</v>
      </c>
      <c r="K3997" s="14">
        <f>+K3996*J3997</f>
        <v>38.653186488769251</v>
      </c>
      <c r="L3997" s="10" t="s">
        <v>3</v>
      </c>
      <c r="M3997" s="1146"/>
      <c r="O3997" s="85"/>
      <c r="P3997" s="34"/>
      <c r="Q3997" s="34"/>
      <c r="R3997" s="44"/>
      <c r="S3997" s="44"/>
      <c r="T3997" s="34"/>
    </row>
    <row r="3998" spans="1:24" ht="60" customHeight="1">
      <c r="A3998" s="1337" t="s">
        <v>313</v>
      </c>
      <c r="B3998" s="1338"/>
      <c r="C3998" s="1338"/>
      <c r="D3998" s="1338"/>
      <c r="E3998" s="1338"/>
      <c r="F3998" s="1338"/>
      <c r="G3998" s="1338"/>
      <c r="H3998" s="1338"/>
      <c r="I3998" s="1338"/>
      <c r="J3998" s="1338"/>
      <c r="K3998" s="1338"/>
      <c r="L3998" s="1339"/>
      <c r="M3998" s="1146"/>
      <c r="O3998" s="85"/>
      <c r="P3998" s="34"/>
      <c r="Q3998" s="34"/>
      <c r="R3998" s="44"/>
      <c r="S3998" s="44"/>
      <c r="T3998" s="34"/>
    </row>
    <row r="3999" spans="1:24" ht="30" customHeight="1">
      <c r="A3999" s="1406" t="s">
        <v>314</v>
      </c>
      <c r="B3999" s="1407"/>
      <c r="C3999" s="1408"/>
      <c r="D3999" s="1270" t="s">
        <v>2138</v>
      </c>
      <c r="E3999" s="1371"/>
      <c r="F3999" s="1371"/>
      <c r="G3999" s="1371"/>
      <c r="H3999" s="1371"/>
      <c r="I3999" s="1371"/>
      <c r="J3999" s="1371"/>
      <c r="K3999" s="1371"/>
      <c r="L3999" s="1372"/>
      <c r="M3999" s="1146"/>
      <c r="O3999" s="85"/>
      <c r="P3999" s="34"/>
      <c r="Q3999" s="34"/>
      <c r="R3999" s="44"/>
      <c r="S3999" s="44"/>
      <c r="T3999" s="34"/>
    </row>
    <row r="4000" spans="1:24" ht="30" customHeight="1">
      <c r="A4000" s="1406" t="s">
        <v>316</v>
      </c>
      <c r="B4000" s="1407"/>
      <c r="C4000" s="1408"/>
      <c r="D4000" s="1270" t="s">
        <v>2139</v>
      </c>
      <c r="E4000" s="1371"/>
      <c r="F4000" s="1371"/>
      <c r="G4000" s="1371"/>
      <c r="H4000" s="1371"/>
      <c r="I4000" s="1371"/>
      <c r="J4000" s="1371"/>
      <c r="K4000" s="1371"/>
      <c r="L4000" s="1372"/>
      <c r="M4000" s="1146"/>
      <c r="O4000" s="85"/>
      <c r="P4000" s="34"/>
      <c r="Q4000" s="34"/>
      <c r="R4000" s="44"/>
      <c r="S4000" s="44"/>
      <c r="T4000" s="34"/>
    </row>
    <row r="4001" spans="1:24" ht="30" customHeight="1">
      <c r="A4001" s="1406" t="s">
        <v>317</v>
      </c>
      <c r="B4001" s="1407"/>
      <c r="C4001" s="1408"/>
      <c r="D4001" s="1270" t="s">
        <v>2820</v>
      </c>
      <c r="E4001" s="1371"/>
      <c r="F4001" s="1371"/>
      <c r="G4001" s="1371"/>
      <c r="H4001" s="1371"/>
      <c r="I4001" s="1371"/>
      <c r="J4001" s="1371"/>
      <c r="K4001" s="1371"/>
      <c r="L4001" s="1372"/>
      <c r="M4001" s="1146"/>
      <c r="O4001" s="85"/>
      <c r="P4001" s="34"/>
      <c r="Q4001" s="34"/>
      <c r="R4001" s="44"/>
      <c r="S4001" s="44"/>
      <c r="T4001" s="34"/>
    </row>
    <row r="4002" spans="1:24" ht="30" customHeight="1">
      <c r="A4002" s="1406" t="s">
        <v>318</v>
      </c>
      <c r="B4002" s="1407"/>
      <c r="C4002" s="1408"/>
      <c r="D4002" s="1270" t="s">
        <v>2140</v>
      </c>
      <c r="E4002" s="1371"/>
      <c r="F4002" s="1371"/>
      <c r="G4002" s="1371"/>
      <c r="H4002" s="1371"/>
      <c r="I4002" s="1371"/>
      <c r="J4002" s="1371"/>
      <c r="K4002" s="1371"/>
      <c r="L4002" s="1372"/>
      <c r="M4002" s="1146"/>
      <c r="N4002" s="193"/>
      <c r="O4002" s="85"/>
      <c r="P4002" s="34"/>
      <c r="Q4002" s="34"/>
      <c r="R4002" s="44"/>
      <c r="S4002" s="44"/>
      <c r="T4002" s="34"/>
    </row>
    <row r="4003" spans="1:24" ht="30" customHeight="1">
      <c r="A4003" s="1406" t="s">
        <v>320</v>
      </c>
      <c r="B4003" s="1407"/>
      <c r="C4003" s="1408"/>
      <c r="D4003" s="1270" t="s">
        <v>2126</v>
      </c>
      <c r="E4003" s="1371"/>
      <c r="F4003" s="1371"/>
      <c r="G4003" s="1371"/>
      <c r="H4003" s="1371"/>
      <c r="I4003" s="1371"/>
      <c r="J4003" s="1371"/>
      <c r="K4003" s="1371"/>
      <c r="L4003" s="1372"/>
      <c r="M4003" s="1146"/>
      <c r="P4003" s="34"/>
      <c r="Q4003" s="34"/>
      <c r="R4003" s="44"/>
      <c r="S4003" s="44"/>
      <c r="T4003" s="34"/>
    </row>
    <row r="4004" spans="1:24" ht="30" customHeight="1">
      <c r="A4004" s="1406" t="s">
        <v>322</v>
      </c>
      <c r="B4004" s="1407"/>
      <c r="C4004" s="1408"/>
      <c r="D4004" s="1270" t="s">
        <v>1891</v>
      </c>
      <c r="E4004" s="1371"/>
      <c r="F4004" s="1371"/>
      <c r="G4004" s="1371"/>
      <c r="H4004" s="1371"/>
      <c r="I4004" s="1371"/>
      <c r="J4004" s="1371"/>
      <c r="K4004" s="1371"/>
      <c r="L4004" s="1372"/>
      <c r="M4004" s="1146"/>
      <c r="P4004" s="34"/>
      <c r="Q4004" s="34"/>
      <c r="R4004" s="44"/>
      <c r="S4004" s="44"/>
      <c r="T4004" s="34"/>
    </row>
    <row r="4005" spans="1:24" ht="30" customHeight="1">
      <c r="A4005" s="1406" t="s">
        <v>324</v>
      </c>
      <c r="B4005" s="1407"/>
      <c r="C4005" s="1408"/>
      <c r="D4005" s="1270" t="s">
        <v>2141</v>
      </c>
      <c r="E4005" s="1371"/>
      <c r="F4005" s="1371"/>
      <c r="G4005" s="1371"/>
      <c r="H4005" s="1371"/>
      <c r="I4005" s="1371"/>
      <c r="J4005" s="1371"/>
      <c r="K4005" s="1371"/>
      <c r="L4005" s="1372"/>
      <c r="M4005" s="1146"/>
      <c r="P4005" s="34"/>
      <c r="Q4005" s="34"/>
      <c r="R4005" s="44"/>
      <c r="S4005" s="44"/>
      <c r="T4005" s="44"/>
      <c r="U4005" s="34"/>
    </row>
    <row r="4006" spans="1:24" ht="30" customHeight="1">
      <c r="A4006" s="1406" t="s">
        <v>325</v>
      </c>
      <c r="B4006" s="1407"/>
      <c r="C4006" s="1408"/>
      <c r="D4006" s="1270" t="s">
        <v>326</v>
      </c>
      <c r="E4006" s="1371"/>
      <c r="F4006" s="1371"/>
      <c r="G4006" s="1371"/>
      <c r="H4006" s="1371"/>
      <c r="I4006" s="1371"/>
      <c r="J4006" s="1371"/>
      <c r="K4006" s="1371"/>
      <c r="L4006" s="1372"/>
      <c r="M4006" s="1146"/>
      <c r="P4006" s="34"/>
      <c r="Q4006" s="34"/>
      <c r="R4006" s="34"/>
      <c r="S4006" s="44"/>
      <c r="T4006" s="44"/>
      <c r="U4006" s="34"/>
    </row>
    <row r="4007" spans="1:24" ht="60" customHeight="1" thickBot="1">
      <c r="A4007" s="1602" t="s">
        <v>327</v>
      </c>
      <c r="B4007" s="1603"/>
      <c r="C4007" s="1604"/>
      <c r="D4007" s="1270" t="s">
        <v>2821</v>
      </c>
      <c r="E4007" s="1371"/>
      <c r="F4007" s="1371"/>
      <c r="G4007" s="1371"/>
      <c r="H4007" s="1371"/>
      <c r="I4007" s="1371"/>
      <c r="J4007" s="1371"/>
      <c r="K4007" s="1371"/>
      <c r="L4007" s="1372"/>
      <c r="M4007" s="1146"/>
      <c r="P4007" s="34"/>
      <c r="Q4007" s="34"/>
      <c r="R4007" s="34"/>
      <c r="S4007" s="44"/>
      <c r="T4007" s="44"/>
      <c r="U4007" s="34"/>
    </row>
    <row r="4008" spans="1:24" ht="30" customHeight="1" thickBot="1">
      <c r="A4008" s="1165"/>
      <c r="B4008" s="1166"/>
      <c r="C4008" s="1166"/>
      <c r="D4008" s="1166"/>
      <c r="E4008" s="1166"/>
      <c r="F4008" s="1166"/>
      <c r="G4008" s="1166"/>
      <c r="H4008" s="1166"/>
      <c r="I4008" s="1166"/>
      <c r="J4008" s="1166"/>
      <c r="K4008" s="1166"/>
      <c r="L4008" s="1167"/>
      <c r="M4008" s="1146"/>
      <c r="O4008" s="743"/>
      <c r="P4008" s="34"/>
      <c r="Q4008" s="34"/>
      <c r="R4008" s="34"/>
      <c r="S4008" s="44"/>
      <c r="T4008" s="44"/>
      <c r="U4008" s="34"/>
    </row>
    <row r="4009" spans="1:24" ht="30" customHeight="1">
      <c r="A4009" s="27" t="s">
        <v>280</v>
      </c>
      <c r="B4009" s="82">
        <v>8522</v>
      </c>
      <c r="C4009" s="1228" t="s">
        <v>2142</v>
      </c>
      <c r="D4009" s="1229"/>
      <c r="E4009" s="74" t="s">
        <v>282</v>
      </c>
      <c r="F4009" s="75" t="s">
        <v>3</v>
      </c>
      <c r="G4009" s="91" t="s">
        <v>1664</v>
      </c>
      <c r="H4009" s="701">
        <v>8968</v>
      </c>
      <c r="I4009" s="74" t="s">
        <v>283</v>
      </c>
      <c r="J4009" s="1199" t="s">
        <v>2529</v>
      </c>
      <c r="K4009" s="1199"/>
      <c r="L4009" s="1200"/>
      <c r="M4009" s="1146"/>
      <c r="P4009" s="34"/>
      <c r="Q4009" s="34"/>
      <c r="R4009" s="34"/>
      <c r="S4009" s="44"/>
      <c r="T4009" s="44"/>
      <c r="U4009" s="34"/>
    </row>
    <row r="4010" spans="1:24" ht="30" customHeight="1">
      <c r="A4010" s="37" t="s">
        <v>304</v>
      </c>
      <c r="B4010" s="1201" t="s">
        <v>330</v>
      </c>
      <c r="C4010" s="1202"/>
      <c r="D4010" s="1203"/>
      <c r="E4010" s="150" t="s">
        <v>295</v>
      </c>
      <c r="F4010" s="150" t="s">
        <v>331</v>
      </c>
      <c r="G4010" s="1204" t="s">
        <v>332</v>
      </c>
      <c r="H4010" s="1205"/>
      <c r="I4010" s="77" t="s">
        <v>305</v>
      </c>
      <c r="J4010" s="77"/>
      <c r="K4010" s="1303" t="s">
        <v>297</v>
      </c>
      <c r="L4010" s="1304"/>
      <c r="M4010" s="1146"/>
      <c r="P4010" s="34"/>
      <c r="Q4010" s="34"/>
      <c r="R4010" s="34"/>
      <c r="S4010" s="44"/>
      <c r="T4010" s="44"/>
      <c r="U4010" s="34"/>
    </row>
    <row r="4011" spans="1:24" ht="30" customHeight="1">
      <c r="A4011" s="45" t="s">
        <v>473</v>
      </c>
      <c r="B4011" s="18" t="s">
        <v>2130</v>
      </c>
      <c r="C4011" s="208"/>
      <c r="D4011" s="155"/>
      <c r="E4011" s="331">
        <v>81.5</v>
      </c>
      <c r="F4011" s="800" t="s">
        <v>2131</v>
      </c>
      <c r="G4011" s="521">
        <v>35</v>
      </c>
      <c r="H4011" s="695" t="s">
        <v>2132</v>
      </c>
      <c r="I4011" s="20">
        <v>1.05</v>
      </c>
      <c r="J4011" s="20"/>
      <c r="K4011" s="349">
        <f>+E4011/G4011*I4011</f>
        <v>2.4450000000000003</v>
      </c>
      <c r="L4011" s="22" t="s">
        <v>3</v>
      </c>
      <c r="M4011" s="1146"/>
      <c r="P4011" s="441"/>
      <c r="Q4011" s="441"/>
      <c r="R4011" s="441"/>
      <c r="S4011" s="44"/>
      <c r="T4011" s="44"/>
      <c r="U4011" s="34"/>
    </row>
    <row r="4012" spans="1:24" ht="30" customHeight="1">
      <c r="A4012" s="45" t="s">
        <v>473</v>
      </c>
      <c r="B4012" s="1179" t="s">
        <v>2133</v>
      </c>
      <c r="C4012" s="1180"/>
      <c r="D4012" s="1181"/>
      <c r="E4012" s="335">
        <v>165</v>
      </c>
      <c r="F4012" s="800" t="s">
        <v>2131</v>
      </c>
      <c r="G4012" s="521">
        <v>35</v>
      </c>
      <c r="H4012" s="695" t="s">
        <v>2132</v>
      </c>
      <c r="I4012" s="20">
        <v>1.05</v>
      </c>
      <c r="J4012" s="20"/>
      <c r="K4012" s="349">
        <f>+E4012/G4012*I4012</f>
        <v>4.95</v>
      </c>
      <c r="L4012" s="22" t="s">
        <v>3</v>
      </c>
      <c r="M4012" s="1146"/>
      <c r="P4012" s="34"/>
      <c r="Q4012" s="34"/>
      <c r="R4012" s="34"/>
      <c r="S4012" s="44"/>
      <c r="U4012" s="441"/>
      <c r="V4012" s="59"/>
      <c r="W4012" s="59"/>
      <c r="X4012" s="59"/>
    </row>
    <row r="4013" spans="1:24" s="59" customFormat="1" ht="30" customHeight="1">
      <c r="A4013" s="45" t="s">
        <v>473</v>
      </c>
      <c r="B4013" s="18" t="s">
        <v>2136</v>
      </c>
      <c r="C4013" s="468"/>
      <c r="D4013" s="469"/>
      <c r="E4013" s="335">
        <v>180</v>
      </c>
      <c r="F4013" s="800" t="s">
        <v>2131</v>
      </c>
      <c r="G4013" s="521">
        <v>35</v>
      </c>
      <c r="H4013" s="695" t="s">
        <v>2132</v>
      </c>
      <c r="I4013" s="20">
        <v>1.05</v>
      </c>
      <c r="J4013" s="20"/>
      <c r="K4013" s="349">
        <f>+E4013/G4013*I4013</f>
        <v>5.4</v>
      </c>
      <c r="L4013" s="22" t="s">
        <v>3</v>
      </c>
      <c r="M4013" s="1146"/>
      <c r="N4013" s="25"/>
      <c r="O4013" s="1119"/>
      <c r="P4013"/>
      <c r="Q4013"/>
      <c r="R4013"/>
      <c r="S4013"/>
      <c r="T4013" s="38"/>
      <c r="U4013" s="39"/>
      <c r="V4013" s="38"/>
      <c r="W4013" s="38"/>
      <c r="X4013" s="38"/>
    </row>
    <row r="4014" spans="1:24" s="38" customFormat="1" ht="30" customHeight="1">
      <c r="A4014" s="46"/>
      <c r="B4014" s="1329" t="s">
        <v>2137</v>
      </c>
      <c r="C4014" s="1329"/>
      <c r="D4014" s="1329"/>
      <c r="E4014" s="153"/>
      <c r="F4014" s="20"/>
      <c r="G4014" s="20"/>
      <c r="H4014" s="20"/>
      <c r="I4014" s="20"/>
      <c r="J4014" s="20" t="s">
        <v>346</v>
      </c>
      <c r="K4014" s="353">
        <f>SUM(K4011:K4013)</f>
        <v>12.795000000000002</v>
      </c>
      <c r="L4014" s="20" t="s">
        <v>3</v>
      </c>
      <c r="M4014" s="1146"/>
      <c r="N4014" s="25"/>
      <c r="O4014" s="1119"/>
      <c r="T4014" s="44"/>
      <c r="U4014"/>
      <c r="V4014"/>
      <c r="W4014"/>
      <c r="X4014"/>
    </row>
    <row r="4015" spans="1:24" ht="30" customHeight="1">
      <c r="A4015" s="45"/>
      <c r="B4015" s="157"/>
      <c r="C4015" s="157"/>
      <c r="D4015" s="157"/>
      <c r="E4015" s="153"/>
      <c r="F4015" s="1174" t="s">
        <v>308</v>
      </c>
      <c r="G4015" s="1208" t="s">
        <v>309</v>
      </c>
      <c r="H4015" s="1208"/>
      <c r="I4015" s="1208"/>
      <c r="J4015" s="1208"/>
      <c r="K4015" s="123">
        <v>1.06</v>
      </c>
      <c r="L4015" s="10"/>
      <c r="M4015" s="1146"/>
      <c r="N4015" s="1120"/>
      <c r="P4015" s="34"/>
      <c r="Q4015" s="34"/>
      <c r="R4015" s="34"/>
      <c r="S4015" s="44"/>
      <c r="T4015" s="44"/>
    </row>
    <row r="4016" spans="1:24" ht="30" customHeight="1">
      <c r="A4016" s="45"/>
      <c r="B4016" s="157"/>
      <c r="C4016" s="157"/>
      <c r="D4016" s="157"/>
      <c r="E4016" s="153"/>
      <c r="F4016" s="1175"/>
      <c r="G4016" s="1209" t="s">
        <v>310</v>
      </c>
      <c r="H4016" s="1209"/>
      <c r="I4016" s="1209"/>
      <c r="J4016" s="1209"/>
      <c r="K4016" s="123">
        <v>1.07</v>
      </c>
      <c r="L4016" s="10"/>
      <c r="M4016" s="1146"/>
      <c r="P4016" s="34"/>
      <c r="Q4016" s="34"/>
      <c r="R4016" s="34"/>
      <c r="S4016" s="44"/>
      <c r="T4016" s="44"/>
    </row>
    <row r="4017" spans="1:20" ht="30" customHeight="1">
      <c r="A4017" s="46"/>
      <c r="B4017" s="20"/>
      <c r="C4017" s="18"/>
      <c r="D4017" s="18"/>
      <c r="E4017" s="18"/>
      <c r="F4017" s="18"/>
      <c r="G4017" s="18"/>
      <c r="H4017" s="18"/>
      <c r="I4017" s="18"/>
      <c r="J4017" s="20" t="s">
        <v>289</v>
      </c>
      <c r="K4017" s="23">
        <f>+K4014*K4015/K4016</f>
        <v>12.675420560747666</v>
      </c>
      <c r="L4017" s="20" t="s">
        <v>3</v>
      </c>
      <c r="M4017" s="1146"/>
      <c r="O4017"/>
      <c r="P4017" s="34"/>
      <c r="Q4017" s="34"/>
      <c r="R4017" s="34"/>
      <c r="S4017" s="44"/>
      <c r="T4017" s="44"/>
    </row>
    <row r="4018" spans="1:20" ht="30" customHeight="1" thickBot="1">
      <c r="A4018" s="45"/>
      <c r="B4018" s="20"/>
      <c r="C4018" s="18"/>
      <c r="D4018" s="18"/>
      <c r="E4018" s="18"/>
      <c r="F4018" s="18"/>
      <c r="G4018" s="160" t="s">
        <v>312</v>
      </c>
      <c r="H4018" s="18"/>
      <c r="I4018" s="18"/>
      <c r="J4018" s="139">
        <f>VLOOKUP(B4009,'Mil Cost Premiums for RUCs'!$A$4:$R$266,18,FALSE)</f>
        <v>1.0209999999999999</v>
      </c>
      <c r="K4018" s="23">
        <f>+K4017*J4018</f>
        <v>12.941604392523367</v>
      </c>
      <c r="L4018" s="20" t="s">
        <v>3</v>
      </c>
      <c r="M4018" s="1146"/>
      <c r="O4018"/>
      <c r="P4018" s="34"/>
      <c r="Q4018" s="34"/>
      <c r="R4018" s="34"/>
      <c r="S4018" s="44"/>
      <c r="T4018" s="44"/>
    </row>
    <row r="4019" spans="1:20" ht="30" customHeight="1" thickBot="1">
      <c r="A4019" s="1165"/>
      <c r="B4019" s="1166"/>
      <c r="C4019" s="1166"/>
      <c r="D4019" s="1166"/>
      <c r="E4019" s="1166"/>
      <c r="F4019" s="1166"/>
      <c r="G4019" s="1166"/>
      <c r="H4019" s="1166"/>
      <c r="I4019" s="1166"/>
      <c r="J4019" s="1166"/>
      <c r="K4019" s="1166"/>
      <c r="L4019" s="1167"/>
      <c r="M4019" s="1146"/>
      <c r="N4019" s="226"/>
      <c r="O4019"/>
      <c r="P4019" s="34"/>
      <c r="Q4019" s="34"/>
      <c r="R4019" s="34"/>
      <c r="S4019" s="44"/>
    </row>
    <row r="4020" spans="1:20" ht="30" customHeight="1">
      <c r="A4020" s="108" t="s">
        <v>280</v>
      </c>
      <c r="B4020" s="109">
        <v>8523</v>
      </c>
      <c r="C4020" s="1576" t="s">
        <v>2143</v>
      </c>
      <c r="D4020" s="1577"/>
      <c r="E4020" s="216" t="s">
        <v>282</v>
      </c>
      <c r="F4020" s="217" t="s">
        <v>3</v>
      </c>
      <c r="G4020" s="58" t="s">
        <v>290</v>
      </c>
      <c r="H4020" s="802">
        <v>9091</v>
      </c>
      <c r="I4020" s="216" t="s">
        <v>283</v>
      </c>
      <c r="J4020" s="1199" t="s">
        <v>2529</v>
      </c>
      <c r="K4020" s="1199"/>
      <c r="L4020" s="1200"/>
      <c r="M4020" s="1146"/>
      <c r="N4020" s="193"/>
      <c r="O4020"/>
      <c r="P4020" s="159"/>
      <c r="Q4020" s="147"/>
      <c r="R4020" s="149"/>
    </row>
    <row r="4021" spans="1:20" ht="30" customHeight="1">
      <c r="A4021" s="113" t="s">
        <v>304</v>
      </c>
      <c r="B4021" s="1716" t="s">
        <v>330</v>
      </c>
      <c r="C4021" s="1717"/>
      <c r="D4021" s="1718"/>
      <c r="E4021" s="669" t="s">
        <v>295</v>
      </c>
      <c r="F4021" s="669" t="s">
        <v>331</v>
      </c>
      <c r="G4021" s="1719" t="s">
        <v>332</v>
      </c>
      <c r="H4021" s="1720"/>
      <c r="I4021" s="167" t="s">
        <v>305</v>
      </c>
      <c r="J4021" s="167"/>
      <c r="K4021" s="1303" t="s">
        <v>297</v>
      </c>
      <c r="L4021" s="1304"/>
      <c r="M4021" s="1146"/>
      <c r="O4021"/>
      <c r="P4021" s="159"/>
      <c r="Q4021" s="147"/>
      <c r="R4021" s="149"/>
    </row>
    <row r="4022" spans="1:20" ht="30" customHeight="1">
      <c r="A4022" s="24" t="s">
        <v>473</v>
      </c>
      <c r="B4022" s="1185" t="s">
        <v>2130</v>
      </c>
      <c r="C4022" s="1186"/>
      <c r="D4022" s="1187"/>
      <c r="E4022" s="295">
        <v>81.5</v>
      </c>
      <c r="F4022" s="800" t="s">
        <v>2131</v>
      </c>
      <c r="G4022" s="296">
        <v>35</v>
      </c>
      <c r="H4022" s="801" t="s">
        <v>2132</v>
      </c>
      <c r="I4022" s="10">
        <v>1.05</v>
      </c>
      <c r="J4022" s="10"/>
      <c r="K4022" s="298">
        <f>+E4022/G4022*I4022</f>
        <v>2.4450000000000003</v>
      </c>
      <c r="L4022" s="5" t="s">
        <v>3</v>
      </c>
      <c r="M4022" s="1146"/>
      <c r="O4022"/>
      <c r="P4022" s="159"/>
      <c r="Q4022" s="147"/>
      <c r="R4022" s="149"/>
    </row>
    <row r="4023" spans="1:20" ht="30" customHeight="1">
      <c r="A4023" s="24" t="s">
        <v>473</v>
      </c>
      <c r="B4023" s="1185" t="s">
        <v>2133</v>
      </c>
      <c r="C4023" s="1186"/>
      <c r="D4023" s="1187"/>
      <c r="E4023" s="299">
        <v>165</v>
      </c>
      <c r="F4023" s="800" t="s">
        <v>2131</v>
      </c>
      <c r="G4023" s="296">
        <v>35</v>
      </c>
      <c r="H4023" s="801" t="s">
        <v>2132</v>
      </c>
      <c r="I4023" s="10">
        <v>1.05</v>
      </c>
      <c r="J4023" s="10"/>
      <c r="K4023" s="298">
        <f>+E4023/G4023*I4023</f>
        <v>4.95</v>
      </c>
      <c r="L4023" s="5" t="s">
        <v>3</v>
      </c>
      <c r="M4023" s="1146"/>
      <c r="O4023"/>
      <c r="P4023" s="159"/>
      <c r="Q4023" s="147"/>
      <c r="R4023" s="149"/>
    </row>
    <row r="4024" spans="1:20" ht="30" customHeight="1">
      <c r="A4024" s="24" t="s">
        <v>473</v>
      </c>
      <c r="B4024" s="1185" t="s">
        <v>2134</v>
      </c>
      <c r="C4024" s="1186"/>
      <c r="D4024" s="1187"/>
      <c r="E4024" s="299">
        <v>715</v>
      </c>
      <c r="F4024" s="800" t="s">
        <v>2131</v>
      </c>
      <c r="G4024" s="296">
        <v>35</v>
      </c>
      <c r="H4024" s="801" t="s">
        <v>2132</v>
      </c>
      <c r="I4024" s="10">
        <v>1.05</v>
      </c>
      <c r="J4024" s="10"/>
      <c r="K4024" s="298">
        <f>+E4024/G4024*I4024</f>
        <v>21.45</v>
      </c>
      <c r="L4024" s="5" t="s">
        <v>3</v>
      </c>
      <c r="M4024" s="1146"/>
      <c r="O4024" s="34"/>
      <c r="P4024" s="159"/>
      <c r="Q4024" s="147"/>
      <c r="R4024" s="149"/>
    </row>
    <row r="4025" spans="1:20" ht="30" customHeight="1">
      <c r="A4025" s="47"/>
      <c r="B4025" s="1329" t="s">
        <v>2137</v>
      </c>
      <c r="C4025" s="1329"/>
      <c r="D4025" s="1329"/>
      <c r="E4025" s="115"/>
      <c r="F4025" s="10"/>
      <c r="G4025" s="10"/>
      <c r="H4025" s="10"/>
      <c r="I4025" s="10"/>
      <c r="J4025" s="10" t="s">
        <v>346</v>
      </c>
      <c r="K4025" s="304">
        <f>SUM(K4022:K4024)</f>
        <v>28.844999999999999</v>
      </c>
      <c r="L4025" s="10" t="s">
        <v>3</v>
      </c>
      <c r="M4025" s="1146"/>
      <c r="O4025" s="34"/>
      <c r="P4025" s="159"/>
      <c r="Q4025" s="147"/>
      <c r="R4025" s="149"/>
    </row>
    <row r="4026" spans="1:20" ht="30" customHeight="1">
      <c r="A4026" s="45"/>
      <c r="B4026" s="189"/>
      <c r="C4026" s="189"/>
      <c r="D4026" s="189"/>
      <c r="E4026" s="153"/>
      <c r="F4026" s="1174" t="s">
        <v>308</v>
      </c>
      <c r="G4026" s="1208" t="s">
        <v>309</v>
      </c>
      <c r="H4026" s="1208"/>
      <c r="I4026" s="1208"/>
      <c r="J4026" s="1208"/>
      <c r="K4026" s="123">
        <v>1.06</v>
      </c>
      <c r="L4026" s="10"/>
      <c r="M4026" s="1146"/>
      <c r="O4026"/>
      <c r="P4026" s="159"/>
      <c r="Q4026" s="147"/>
      <c r="R4026" s="149"/>
    </row>
    <row r="4027" spans="1:20" ht="30" customHeight="1">
      <c r="A4027" s="45"/>
      <c r="B4027" s="189"/>
      <c r="C4027" s="189"/>
      <c r="D4027" s="189"/>
      <c r="E4027" s="153"/>
      <c r="F4027" s="1175"/>
      <c r="G4027" s="1209" t="s">
        <v>310</v>
      </c>
      <c r="H4027" s="1209"/>
      <c r="I4027" s="1209"/>
      <c r="J4027" s="1209"/>
      <c r="K4027" s="123">
        <v>1.07</v>
      </c>
      <c r="L4027" s="10"/>
      <c r="M4027" s="1146"/>
      <c r="N4027" s="1103"/>
      <c r="O4027"/>
      <c r="P4027" s="283"/>
      <c r="Q4027" s="282"/>
      <c r="R4027" s="284"/>
    </row>
    <row r="4028" spans="1:20" ht="30" customHeight="1">
      <c r="A4028" s="47"/>
      <c r="B4028" s="24"/>
      <c r="C4028" s="47"/>
      <c r="D4028" s="47"/>
      <c r="E4028" s="13"/>
      <c r="F4028" s="13"/>
      <c r="G4028" s="13"/>
      <c r="H4028" s="13"/>
      <c r="I4028" s="13"/>
      <c r="J4028" s="10" t="s">
        <v>289</v>
      </c>
      <c r="K4028" s="14">
        <f>+K4025*K4026/K4027</f>
        <v>28.575420560747663</v>
      </c>
      <c r="L4028" s="10" t="s">
        <v>3</v>
      </c>
      <c r="M4028" s="1146"/>
      <c r="N4028" s="1103"/>
      <c r="O4028"/>
      <c r="P4028" s="283"/>
      <c r="Q4028" s="282"/>
      <c r="R4028" s="284"/>
    </row>
    <row r="4029" spans="1:20" ht="30" customHeight="1">
      <c r="A4029" s="47"/>
      <c r="B4029" s="24"/>
      <c r="C4029" s="47"/>
      <c r="D4029" s="47"/>
      <c r="E4029" s="13"/>
      <c r="F4029" s="13"/>
      <c r="G4029" s="235" t="s">
        <v>385</v>
      </c>
      <c r="H4029" s="13"/>
      <c r="I4029" s="13"/>
      <c r="J4029" s="139">
        <f>VLOOKUP(B4020,'Mil Cost Premiums for RUCs'!$A$4:$R$266,18,FALSE)</f>
        <v>1.1199953840399997</v>
      </c>
      <c r="K4029" s="14">
        <f>+K4028*J4029</f>
        <v>32.004339125039081</v>
      </c>
      <c r="L4029" s="10" t="s">
        <v>3</v>
      </c>
      <c r="M4029" s="1146"/>
      <c r="N4029" s="1103"/>
      <c r="O4029"/>
      <c r="P4029" s="159"/>
      <c r="Q4029" s="147"/>
      <c r="R4029" s="149"/>
    </row>
    <row r="4030" spans="1:20" ht="60" customHeight="1">
      <c r="A4030" s="1337" t="s">
        <v>313</v>
      </c>
      <c r="B4030" s="1338"/>
      <c r="C4030" s="1338"/>
      <c r="D4030" s="1338"/>
      <c r="E4030" s="1338"/>
      <c r="F4030" s="1338"/>
      <c r="G4030" s="1338"/>
      <c r="H4030" s="1338"/>
      <c r="I4030" s="1338"/>
      <c r="J4030" s="1338"/>
      <c r="K4030" s="1338"/>
      <c r="L4030" s="1339"/>
      <c r="M4030" s="1146"/>
      <c r="N4030" s="1103"/>
      <c r="O4030"/>
      <c r="P4030" s="159"/>
      <c r="Q4030" s="147"/>
      <c r="R4030" s="149"/>
    </row>
    <row r="4031" spans="1:20" ht="30" customHeight="1">
      <c r="A4031" s="1406" t="s">
        <v>314</v>
      </c>
      <c r="B4031" s="1407"/>
      <c r="C4031" s="1408"/>
      <c r="D4031" s="1270" t="s">
        <v>2138</v>
      </c>
      <c r="E4031" s="1371"/>
      <c r="F4031" s="1371"/>
      <c r="G4031" s="1371"/>
      <c r="H4031" s="1371"/>
      <c r="I4031" s="1371"/>
      <c r="J4031" s="1371"/>
      <c r="K4031" s="1371"/>
      <c r="L4031" s="1372"/>
      <c r="M4031" s="1146"/>
      <c r="N4031" s="1103"/>
      <c r="O4031" s="38"/>
      <c r="P4031" s="148"/>
      <c r="Q4031" s="41"/>
      <c r="R4031" s="149"/>
    </row>
    <row r="4032" spans="1:20" ht="30" customHeight="1">
      <c r="A4032" s="1406" t="s">
        <v>316</v>
      </c>
      <c r="B4032" s="1407"/>
      <c r="C4032" s="1408"/>
      <c r="D4032" s="1270" t="s">
        <v>2139</v>
      </c>
      <c r="E4032" s="1371"/>
      <c r="F4032" s="1371"/>
      <c r="G4032" s="1371"/>
      <c r="H4032" s="1371"/>
      <c r="I4032" s="1371"/>
      <c r="J4032" s="1371"/>
      <c r="K4032" s="1371"/>
      <c r="L4032" s="1372"/>
      <c r="M4032" s="1146"/>
      <c r="N4032" s="1103"/>
      <c r="O4032"/>
      <c r="P4032" s="148"/>
      <c r="Q4032" s="41"/>
      <c r="R4032" s="149"/>
    </row>
    <row r="4033" spans="1:24" ht="30" customHeight="1">
      <c r="A4033" s="1406" t="s">
        <v>317</v>
      </c>
      <c r="B4033" s="1407"/>
      <c r="C4033" s="1408"/>
      <c r="D4033" s="1270" t="s">
        <v>2144</v>
      </c>
      <c r="E4033" s="1371"/>
      <c r="F4033" s="1371"/>
      <c r="G4033" s="1371"/>
      <c r="H4033" s="1371"/>
      <c r="I4033" s="1371"/>
      <c r="J4033" s="1371"/>
      <c r="K4033" s="1371"/>
      <c r="L4033" s="1372"/>
      <c r="M4033" s="1146"/>
      <c r="N4033" s="282"/>
      <c r="O4033"/>
      <c r="P4033" s="148"/>
      <c r="Q4033" s="41"/>
      <c r="R4033" s="149"/>
      <c r="T4033" s="38"/>
      <c r="U4033" s="38"/>
      <c r="V4033" s="38"/>
      <c r="W4033" s="38"/>
      <c r="X4033" s="38"/>
    </row>
    <row r="4034" spans="1:24" s="38" customFormat="1" ht="30" customHeight="1">
      <c r="A4034" s="1406" t="s">
        <v>318</v>
      </c>
      <c r="B4034" s="1407"/>
      <c r="C4034" s="1408"/>
      <c r="D4034" s="1270" t="s">
        <v>2145</v>
      </c>
      <c r="E4034" s="1371"/>
      <c r="F4034" s="1371"/>
      <c r="G4034" s="1371"/>
      <c r="H4034" s="1371"/>
      <c r="I4034" s="1371"/>
      <c r="J4034" s="1371"/>
      <c r="K4034" s="1371"/>
      <c r="L4034" s="1372"/>
      <c r="M4034" s="1146"/>
      <c r="N4034" s="282"/>
      <c r="O4034"/>
      <c r="P4034" s="159"/>
      <c r="Q4034" s="754"/>
      <c r="R4034" s="149"/>
      <c r="T4034"/>
      <c r="U4034"/>
      <c r="V4034"/>
      <c r="W4034"/>
      <c r="X4034"/>
    </row>
    <row r="4035" spans="1:24" ht="30" customHeight="1">
      <c r="A4035" s="1406" t="s">
        <v>320</v>
      </c>
      <c r="B4035" s="1407"/>
      <c r="C4035" s="1408"/>
      <c r="D4035" s="1270" t="s">
        <v>2126</v>
      </c>
      <c r="E4035" s="1371"/>
      <c r="F4035" s="1371"/>
      <c r="G4035" s="1371"/>
      <c r="H4035" s="1371"/>
      <c r="I4035" s="1371"/>
      <c r="J4035" s="1371"/>
      <c r="K4035" s="1371"/>
      <c r="L4035" s="1372"/>
      <c r="M4035" s="1146"/>
      <c r="N4035" s="1103"/>
      <c r="O4035"/>
      <c r="P4035" s="159"/>
      <c r="Q4035" s="41"/>
      <c r="R4035" s="149"/>
    </row>
    <row r="4036" spans="1:24" ht="30" customHeight="1">
      <c r="A4036" s="1406" t="s">
        <v>322</v>
      </c>
      <c r="B4036" s="1407"/>
      <c r="C4036" s="1408"/>
      <c r="D4036" s="1270" t="s">
        <v>1891</v>
      </c>
      <c r="E4036" s="1371"/>
      <c r="F4036" s="1371"/>
      <c r="G4036" s="1371"/>
      <c r="H4036" s="1371"/>
      <c r="I4036" s="1371"/>
      <c r="J4036" s="1371"/>
      <c r="K4036" s="1371"/>
      <c r="L4036" s="1372"/>
      <c r="M4036" s="1146"/>
      <c r="N4036" s="1103"/>
      <c r="O4036"/>
      <c r="P4036" s="159"/>
      <c r="Q4036" s="41"/>
      <c r="R4036" s="149"/>
      <c r="S4036" s="59"/>
    </row>
    <row r="4037" spans="1:24" ht="30" customHeight="1">
      <c r="A4037" s="1406" t="s">
        <v>324</v>
      </c>
      <c r="B4037" s="1407"/>
      <c r="C4037" s="1408"/>
      <c r="D4037" s="1270" t="s">
        <v>2141</v>
      </c>
      <c r="E4037" s="1371"/>
      <c r="F4037" s="1371"/>
      <c r="G4037" s="1371"/>
      <c r="H4037" s="1371"/>
      <c r="I4037" s="1371"/>
      <c r="J4037" s="1371"/>
      <c r="K4037" s="1371"/>
      <c r="L4037" s="1372"/>
      <c r="M4037" s="1146"/>
      <c r="N4037" s="1103"/>
      <c r="O4037" s="34"/>
      <c r="P4037" s="159"/>
      <c r="Q4037" s="41"/>
      <c r="R4037" s="149"/>
    </row>
    <row r="4038" spans="1:24" ht="30" customHeight="1">
      <c r="A4038" s="1406" t="s">
        <v>325</v>
      </c>
      <c r="B4038" s="1407"/>
      <c r="C4038" s="1408"/>
      <c r="D4038" s="1270" t="s">
        <v>326</v>
      </c>
      <c r="E4038" s="1371"/>
      <c r="F4038" s="1371"/>
      <c r="G4038" s="1371"/>
      <c r="H4038" s="1371"/>
      <c r="I4038" s="1371"/>
      <c r="J4038" s="1371"/>
      <c r="K4038" s="1371"/>
      <c r="L4038" s="1372"/>
      <c r="M4038" s="1146"/>
      <c r="N4038" s="1103"/>
      <c r="O4038" s="34"/>
      <c r="P4038" s="159"/>
      <c r="Q4038" s="41"/>
      <c r="R4038" s="149"/>
    </row>
    <row r="4039" spans="1:24" ht="45" customHeight="1" thickBot="1">
      <c r="A4039" s="1498" t="s">
        <v>327</v>
      </c>
      <c r="B4039" s="1499"/>
      <c r="C4039" s="1500"/>
      <c r="D4039" s="1270" t="s">
        <v>2877</v>
      </c>
      <c r="E4039" s="1371"/>
      <c r="F4039" s="1371"/>
      <c r="G4039" s="1371"/>
      <c r="H4039" s="1371"/>
      <c r="I4039" s="1371"/>
      <c r="J4039" s="1371"/>
      <c r="K4039" s="1371"/>
      <c r="L4039" s="1372"/>
      <c r="M4039" s="1146"/>
      <c r="N4039" s="1103"/>
      <c r="O4039"/>
      <c r="P4039" s="159"/>
      <c r="Q4039" s="41"/>
      <c r="R4039" s="149"/>
    </row>
    <row r="4040" spans="1:24" ht="30" customHeight="1" thickBot="1">
      <c r="A4040" s="1165"/>
      <c r="B4040" s="1166"/>
      <c r="C4040" s="1166"/>
      <c r="D4040" s="1166"/>
      <c r="E4040" s="1166"/>
      <c r="F4040" s="1166"/>
      <c r="G4040" s="1166"/>
      <c r="H4040" s="1166"/>
      <c r="I4040" s="1166"/>
      <c r="J4040" s="1166"/>
      <c r="K4040" s="1166"/>
      <c r="L4040" s="1167"/>
      <c r="M4040" s="1146"/>
      <c r="N4040" s="1103"/>
      <c r="O4040"/>
      <c r="P4040" s="283"/>
      <c r="Q4040" s="282"/>
      <c r="R4040" s="284"/>
    </row>
    <row r="4041" spans="1:24" ht="30" customHeight="1">
      <c r="A4041" s="108" t="s">
        <v>280</v>
      </c>
      <c r="B4041" s="109">
        <v>8524</v>
      </c>
      <c r="C4041" s="1576" t="s">
        <v>2146</v>
      </c>
      <c r="D4041" s="1577"/>
      <c r="E4041" s="216" t="s">
        <v>282</v>
      </c>
      <c r="F4041" s="217" t="s">
        <v>3</v>
      </c>
      <c r="G4041" s="58" t="s">
        <v>290</v>
      </c>
      <c r="H4041" s="245">
        <v>4341</v>
      </c>
      <c r="I4041" s="216" t="s">
        <v>283</v>
      </c>
      <c r="J4041" s="1199" t="s">
        <v>2529</v>
      </c>
      <c r="K4041" s="1199"/>
      <c r="L4041" s="1200"/>
      <c r="M4041" s="1146"/>
      <c r="N4041" s="1103"/>
      <c r="O4041"/>
      <c r="P4041" s="283"/>
      <c r="Q4041" s="282"/>
      <c r="R4041" s="284"/>
    </row>
    <row r="4042" spans="1:24" ht="30" customHeight="1">
      <c r="A4042" s="294" t="s">
        <v>304</v>
      </c>
      <c r="B4042" s="1436" t="s">
        <v>330</v>
      </c>
      <c r="C4042" s="1437"/>
      <c r="D4042" s="1438"/>
      <c r="E4042" s="219" t="s">
        <v>295</v>
      </c>
      <c r="F4042" s="219" t="s">
        <v>331</v>
      </c>
      <c r="G4042" s="1327" t="s">
        <v>332</v>
      </c>
      <c r="H4042" s="1328"/>
      <c r="I4042" s="167" t="s">
        <v>305</v>
      </c>
      <c r="J4042" s="167"/>
      <c r="K4042" s="1303" t="s">
        <v>297</v>
      </c>
      <c r="L4042" s="1304"/>
      <c r="M4042" s="1146"/>
      <c r="N4042" s="282"/>
      <c r="O4042"/>
      <c r="P4042" s="159"/>
      <c r="Q4042" s="41"/>
      <c r="R4042" s="149"/>
    </row>
    <row r="4043" spans="1:24" ht="30" customHeight="1">
      <c r="A4043" s="24" t="s">
        <v>538</v>
      </c>
      <c r="B4043" s="1439" t="s">
        <v>2147</v>
      </c>
      <c r="C4043" s="1440"/>
      <c r="D4043" s="1441"/>
      <c r="E4043" s="299">
        <f>+(4.7+7.12)/2</f>
        <v>5.91</v>
      </c>
      <c r="F4043" s="5" t="s">
        <v>8</v>
      </c>
      <c r="G4043" s="772">
        <v>9</v>
      </c>
      <c r="H4043" s="297" t="s">
        <v>517</v>
      </c>
      <c r="I4043" s="10">
        <v>1.05</v>
      </c>
      <c r="J4043" s="5"/>
      <c r="K4043" s="14">
        <f>+E4043*G4043*I4043</f>
        <v>55.849499999999999</v>
      </c>
      <c r="L4043" s="5" t="s">
        <v>3</v>
      </c>
      <c r="M4043" s="1146"/>
      <c r="N4043" s="282"/>
      <c r="O4043"/>
      <c r="P4043" s="159"/>
      <c r="Q4043" s="41"/>
      <c r="R4043" s="149"/>
    </row>
    <row r="4044" spans="1:24" ht="30" customHeight="1">
      <c r="A4044" s="45"/>
      <c r="B4044" s="189"/>
      <c r="C4044" s="189"/>
      <c r="D4044" s="189"/>
      <c r="E4044" s="153"/>
      <c r="F4044" s="1174" t="s">
        <v>308</v>
      </c>
      <c r="G4044" s="1208" t="s">
        <v>309</v>
      </c>
      <c r="H4044" s="1208"/>
      <c r="I4044" s="1208"/>
      <c r="J4044" s="1208"/>
      <c r="K4044" s="123">
        <v>1.06</v>
      </c>
      <c r="L4044" s="10"/>
      <c r="M4044" s="1146"/>
      <c r="N4044" s="1103"/>
      <c r="O4044"/>
      <c r="P4044" s="159"/>
      <c r="Q4044" s="41"/>
      <c r="R4044" s="149"/>
    </row>
    <row r="4045" spans="1:24" ht="30" customHeight="1">
      <c r="A4045" s="45"/>
      <c r="B4045" s="189"/>
      <c r="C4045" s="189"/>
      <c r="D4045" s="189"/>
      <c r="E4045" s="153"/>
      <c r="F4045" s="1175"/>
      <c r="G4045" s="1209" t="s">
        <v>310</v>
      </c>
      <c r="H4045" s="1209"/>
      <c r="I4045" s="1209"/>
      <c r="J4045" s="1209"/>
      <c r="K4045" s="123">
        <v>1.07</v>
      </c>
      <c r="L4045" s="10"/>
      <c r="M4045" s="1146"/>
      <c r="N4045" s="1103"/>
      <c r="O4045"/>
      <c r="P4045" s="159"/>
      <c r="Q4045" s="41"/>
      <c r="R4045" s="149"/>
    </row>
    <row r="4046" spans="1:24" ht="30" customHeight="1">
      <c r="A4046" s="765"/>
      <c r="B4046" s="564"/>
      <c r="C4046" s="466"/>
      <c r="D4046" s="804"/>
      <c r="E4046" s="115"/>
      <c r="F4046" s="5"/>
      <c r="G4046" s="401"/>
      <c r="H4046" s="489"/>
      <c r="I4046" s="10"/>
      <c r="J4046" s="10" t="s">
        <v>289</v>
      </c>
      <c r="K4046" s="14">
        <f>+K4043*K4044/K4045</f>
        <v>55.327542056074769</v>
      </c>
      <c r="L4046" s="10" t="s">
        <v>3</v>
      </c>
      <c r="M4046" s="1146"/>
      <c r="N4046" s="282"/>
      <c r="O4046"/>
      <c r="P4046" s="159"/>
      <c r="Q4046" s="41"/>
      <c r="R4046" s="149"/>
    </row>
    <row r="4047" spans="1:24" ht="30" customHeight="1">
      <c r="A4047" s="765"/>
      <c r="B4047" s="180"/>
      <c r="C4047" s="180"/>
      <c r="D4047" s="180"/>
      <c r="E4047" s="115"/>
      <c r="F4047" s="13"/>
      <c r="G4047" s="805" t="s">
        <v>385</v>
      </c>
      <c r="H4047" s="10"/>
      <c r="I4047" s="10"/>
      <c r="J4047" s="139">
        <f>VLOOKUP(B4041,'Mil Cost Premiums for RUCs'!$A$4:$R$266,18,FALSE)</f>
        <v>1.0209999999999999</v>
      </c>
      <c r="K4047" s="14">
        <f>+K4046*J4047</f>
        <v>56.489420439252335</v>
      </c>
      <c r="L4047" s="10" t="s">
        <v>3</v>
      </c>
      <c r="M4047" s="1146"/>
      <c r="N4047" s="282"/>
      <c r="O4047"/>
      <c r="P4047" s="159"/>
      <c r="Q4047" s="41"/>
      <c r="R4047" s="149"/>
    </row>
    <row r="4048" spans="1:24" ht="60" customHeight="1">
      <c r="A4048" s="1337" t="s">
        <v>313</v>
      </c>
      <c r="B4048" s="1338"/>
      <c r="C4048" s="1338"/>
      <c r="D4048" s="1338"/>
      <c r="E4048" s="1338"/>
      <c r="F4048" s="1338"/>
      <c r="G4048" s="1338"/>
      <c r="H4048" s="1338"/>
      <c r="I4048" s="1338"/>
      <c r="J4048" s="1338"/>
      <c r="K4048" s="1338"/>
      <c r="L4048" s="1339"/>
      <c r="M4048" s="1146"/>
      <c r="N4048" s="1103"/>
      <c r="O4048"/>
      <c r="P4048" s="159"/>
      <c r="Q4048" s="41"/>
      <c r="R4048" s="149"/>
    </row>
    <row r="4049" spans="1:24" ht="30" customHeight="1">
      <c r="A4049" s="1406" t="s">
        <v>314</v>
      </c>
      <c r="B4049" s="1407"/>
      <c r="C4049" s="1408"/>
      <c r="D4049" s="1270" t="s">
        <v>2148</v>
      </c>
      <c r="E4049" s="1371"/>
      <c r="F4049" s="1371"/>
      <c r="G4049" s="1371"/>
      <c r="H4049" s="1371"/>
      <c r="I4049" s="1371"/>
      <c r="J4049" s="1371"/>
      <c r="K4049" s="1371"/>
      <c r="L4049" s="1372"/>
      <c r="M4049" s="1146"/>
      <c r="N4049" s="1103"/>
      <c r="O4049"/>
      <c r="P4049" s="159"/>
      <c r="Q4049" s="41"/>
      <c r="R4049" s="149"/>
    </row>
    <row r="4050" spans="1:24" ht="30" customHeight="1">
      <c r="A4050" s="1406" t="s">
        <v>316</v>
      </c>
      <c r="B4050" s="1407"/>
      <c r="C4050" s="1408"/>
      <c r="D4050" s="1270" t="s">
        <v>2149</v>
      </c>
      <c r="E4050" s="1371"/>
      <c r="F4050" s="1371"/>
      <c r="G4050" s="1371"/>
      <c r="H4050" s="1371"/>
      <c r="I4050" s="1371"/>
      <c r="J4050" s="1371"/>
      <c r="K4050" s="1371"/>
      <c r="L4050" s="1372"/>
      <c r="M4050" s="1146"/>
      <c r="N4050" s="1103"/>
      <c r="O4050" s="743"/>
      <c r="P4050" s="159"/>
      <c r="Q4050" s="41"/>
      <c r="R4050" s="149"/>
    </row>
    <row r="4051" spans="1:24" ht="30" customHeight="1">
      <c r="A4051" s="1406" t="s">
        <v>317</v>
      </c>
      <c r="B4051" s="1407"/>
      <c r="C4051" s="1408"/>
      <c r="D4051" s="1270" t="s">
        <v>2150</v>
      </c>
      <c r="E4051" s="1371"/>
      <c r="F4051" s="1371"/>
      <c r="G4051" s="1371"/>
      <c r="H4051" s="1371"/>
      <c r="I4051" s="1371"/>
      <c r="J4051" s="1371"/>
      <c r="K4051" s="1371"/>
      <c r="L4051" s="1372"/>
      <c r="M4051" s="1146"/>
      <c r="N4051" s="1103"/>
      <c r="O4051" s="743"/>
      <c r="P4051" s="159"/>
      <c r="Q4051" s="41"/>
      <c r="R4051" s="149"/>
    </row>
    <row r="4052" spans="1:24" ht="30" customHeight="1">
      <c r="A4052" s="1406" t="s">
        <v>318</v>
      </c>
      <c r="B4052" s="1407"/>
      <c r="C4052" s="1408"/>
      <c r="D4052" s="1270" t="s">
        <v>2151</v>
      </c>
      <c r="E4052" s="1371"/>
      <c r="F4052" s="1371"/>
      <c r="G4052" s="1371"/>
      <c r="H4052" s="1371"/>
      <c r="I4052" s="1371"/>
      <c r="J4052" s="1371"/>
      <c r="K4052" s="1371"/>
      <c r="L4052" s="1372"/>
      <c r="M4052" s="1146"/>
      <c r="N4052" s="1103"/>
      <c r="O4052" s="743"/>
      <c r="P4052" s="159"/>
      <c r="Q4052" s="41"/>
      <c r="R4052" s="149"/>
      <c r="T4052" s="44"/>
      <c r="U4052" s="441"/>
      <c r="V4052" s="59"/>
      <c r="W4052" s="59"/>
      <c r="X4052" s="59"/>
    </row>
    <row r="4053" spans="1:24" s="59" customFormat="1" ht="30" customHeight="1">
      <c r="A4053" s="1406" t="s">
        <v>320</v>
      </c>
      <c r="B4053" s="1407"/>
      <c r="C4053" s="1408"/>
      <c r="D4053" s="1270" t="s">
        <v>2152</v>
      </c>
      <c r="E4053" s="1371"/>
      <c r="F4053" s="1371"/>
      <c r="G4053" s="1371"/>
      <c r="H4053" s="1371"/>
      <c r="I4053" s="1371"/>
      <c r="J4053" s="1371"/>
      <c r="K4053" s="1371"/>
      <c r="L4053" s="1372"/>
      <c r="M4053" s="1146"/>
      <c r="N4053" s="1103"/>
      <c r="O4053" s="743"/>
      <c r="P4053" s="441"/>
      <c r="Q4053" s="441"/>
      <c r="R4053" s="441"/>
      <c r="S4053" s="44"/>
      <c r="T4053" s="84"/>
      <c r="U4053" s="759"/>
      <c r="V4053" s="760"/>
      <c r="W4053" s="760"/>
      <c r="X4053" s="760"/>
    </row>
    <row r="4054" spans="1:24" s="760" customFormat="1" ht="30" customHeight="1">
      <c r="A4054" s="1406" t="s">
        <v>322</v>
      </c>
      <c r="B4054" s="1407"/>
      <c r="C4054" s="1408"/>
      <c r="D4054" s="1270" t="s">
        <v>1891</v>
      </c>
      <c r="E4054" s="1371"/>
      <c r="F4054" s="1371"/>
      <c r="G4054" s="1371"/>
      <c r="H4054" s="1371"/>
      <c r="I4054" s="1371"/>
      <c r="J4054" s="1371"/>
      <c r="K4054" s="1371"/>
      <c r="L4054" s="1372"/>
      <c r="M4054" s="1146"/>
      <c r="N4054" s="1103"/>
      <c r="O4054" s="743"/>
      <c r="P4054" s="759"/>
      <c r="Q4054" s="759"/>
      <c r="R4054" s="759"/>
      <c r="S4054" s="84"/>
      <c r="T4054" s="84"/>
      <c r="U4054" s="759"/>
    </row>
    <row r="4055" spans="1:24" s="760" customFormat="1" ht="30" customHeight="1">
      <c r="A4055" s="1406" t="s">
        <v>324</v>
      </c>
      <c r="B4055" s="1407"/>
      <c r="C4055" s="1408"/>
      <c r="D4055" s="1270" t="s">
        <v>2141</v>
      </c>
      <c r="E4055" s="1371"/>
      <c r="F4055" s="1371"/>
      <c r="G4055" s="1371"/>
      <c r="H4055" s="1371"/>
      <c r="I4055" s="1371"/>
      <c r="J4055" s="1371"/>
      <c r="K4055" s="1371"/>
      <c r="L4055" s="1372"/>
      <c r="M4055" s="1146"/>
      <c r="N4055" s="1103"/>
      <c r="O4055" s="743"/>
      <c r="P4055" s="759"/>
      <c r="Q4055" s="759"/>
      <c r="R4055" s="759"/>
      <c r="S4055" s="84"/>
      <c r="T4055" s="84"/>
      <c r="U4055" s="759"/>
    </row>
    <row r="4056" spans="1:24" s="760" customFormat="1" ht="30" customHeight="1">
      <c r="A4056" s="1406" t="s">
        <v>325</v>
      </c>
      <c r="B4056" s="1407"/>
      <c r="C4056" s="1408"/>
      <c r="D4056" s="1270" t="s">
        <v>326</v>
      </c>
      <c r="E4056" s="1371"/>
      <c r="F4056" s="1371"/>
      <c r="G4056" s="1371"/>
      <c r="H4056" s="1371"/>
      <c r="I4056" s="1371"/>
      <c r="J4056" s="1371"/>
      <c r="K4056" s="1371"/>
      <c r="L4056" s="1372"/>
      <c r="M4056" s="1146"/>
      <c r="N4056" s="1103"/>
      <c r="O4056" s="743"/>
      <c r="P4056" s="759"/>
      <c r="Q4056" s="759"/>
      <c r="R4056" s="759"/>
      <c r="S4056" s="84"/>
      <c r="T4056" s="44"/>
      <c r="U4056" s="441"/>
      <c r="V4056" s="59"/>
      <c r="W4056" s="59"/>
      <c r="X4056" s="59"/>
    </row>
    <row r="4057" spans="1:24" s="59" customFormat="1" ht="30" customHeight="1" thickBot="1">
      <c r="A4057" s="1602" t="s">
        <v>327</v>
      </c>
      <c r="B4057" s="1603"/>
      <c r="C4057" s="1604"/>
      <c r="D4057" s="1270" t="s">
        <v>2822</v>
      </c>
      <c r="E4057" s="1371"/>
      <c r="F4057" s="1371"/>
      <c r="G4057" s="1371"/>
      <c r="H4057" s="1371"/>
      <c r="I4057" s="1371"/>
      <c r="J4057" s="1371"/>
      <c r="K4057" s="1371"/>
      <c r="L4057" s="1372"/>
      <c r="M4057" s="1146"/>
      <c r="N4057" s="1103"/>
      <c r="O4057" s="743"/>
      <c r="P4057" s="441"/>
      <c r="Q4057" s="441"/>
      <c r="R4057" s="441"/>
      <c r="S4057" s="44"/>
      <c r="T4057" s="44"/>
      <c r="U4057" s="441"/>
    </row>
    <row r="4058" spans="1:24" s="59" customFormat="1" ht="30" customHeight="1" thickBot="1">
      <c r="A4058" s="1165"/>
      <c r="B4058" s="1166"/>
      <c r="C4058" s="1166"/>
      <c r="D4058" s="1166"/>
      <c r="E4058" s="1166"/>
      <c r="F4058" s="1166"/>
      <c r="G4058" s="1166"/>
      <c r="H4058" s="1166"/>
      <c r="I4058" s="1166"/>
      <c r="J4058" s="1166"/>
      <c r="K4058" s="1166"/>
      <c r="L4058" s="1167"/>
      <c r="M4058" s="1146"/>
      <c r="N4058" s="1103"/>
      <c r="O4058" s="743"/>
      <c r="P4058" s="441"/>
      <c r="Q4058" s="441"/>
      <c r="R4058" s="441"/>
      <c r="S4058" s="44"/>
      <c r="T4058" s="44"/>
      <c r="U4058" s="441"/>
    </row>
    <row r="4059" spans="1:24" s="59" customFormat="1" ht="30" customHeight="1">
      <c r="A4059" s="108" t="s">
        <v>280</v>
      </c>
      <c r="B4059" s="109">
        <v>8525</v>
      </c>
      <c r="C4059" s="806" t="s">
        <v>2153</v>
      </c>
      <c r="D4059" s="807"/>
      <c r="E4059" s="216" t="s">
        <v>282</v>
      </c>
      <c r="F4059" s="217" t="s">
        <v>3</v>
      </c>
      <c r="G4059" s="58" t="s">
        <v>290</v>
      </c>
      <c r="H4059" s="808">
        <v>106</v>
      </c>
      <c r="I4059" s="216" t="s">
        <v>283</v>
      </c>
      <c r="J4059" s="1199" t="s">
        <v>2529</v>
      </c>
      <c r="K4059" s="1199"/>
      <c r="L4059" s="1200"/>
      <c r="M4059" s="1146"/>
      <c r="N4059" s="1103"/>
      <c r="O4059" s="743"/>
      <c r="P4059" s="441"/>
      <c r="Q4059" s="441"/>
      <c r="R4059" s="441"/>
      <c r="S4059" s="44"/>
      <c r="T4059" s="44"/>
      <c r="U4059" s="441"/>
    </row>
    <row r="4060" spans="1:24" s="59" customFormat="1" ht="30" customHeight="1">
      <c r="A4060" s="113" t="s">
        <v>304</v>
      </c>
      <c r="B4060" s="809" t="s">
        <v>330</v>
      </c>
      <c r="C4060" s="810"/>
      <c r="D4060" s="811"/>
      <c r="E4060" s="669" t="s">
        <v>295</v>
      </c>
      <c r="F4060" s="669" t="s">
        <v>331</v>
      </c>
      <c r="G4060" s="812" t="s">
        <v>332</v>
      </c>
      <c r="H4060" s="449"/>
      <c r="I4060" s="167" t="s">
        <v>305</v>
      </c>
      <c r="J4060" s="167"/>
      <c r="K4060" s="1303" t="s">
        <v>297</v>
      </c>
      <c r="L4060" s="1304"/>
      <c r="M4060" s="1146"/>
      <c r="N4060" s="1103"/>
      <c r="O4060" s="1119"/>
      <c r="P4060" s="441"/>
      <c r="Q4060" s="441"/>
      <c r="R4060" s="441"/>
      <c r="S4060" s="44"/>
      <c r="T4060" s="44"/>
      <c r="U4060" s="441"/>
    </row>
    <row r="4061" spans="1:24" s="59" customFormat="1" ht="30" customHeight="1">
      <c r="A4061" s="24" t="s">
        <v>473</v>
      </c>
      <c r="B4061" s="1439" t="s">
        <v>2154</v>
      </c>
      <c r="C4061" s="1440"/>
      <c r="D4061" s="1441"/>
      <c r="E4061" s="299">
        <f>+(71+407)/2</f>
        <v>239</v>
      </c>
      <c r="F4061" s="5" t="s">
        <v>8</v>
      </c>
      <c r="G4061" s="772">
        <v>9</v>
      </c>
      <c r="H4061" s="297" t="s">
        <v>517</v>
      </c>
      <c r="I4061" s="10">
        <v>1.05</v>
      </c>
      <c r="J4061" s="5"/>
      <c r="K4061" s="14">
        <f>+E4061*G4061*I4061</f>
        <v>2258.5500000000002</v>
      </c>
      <c r="L4061" s="5" t="s">
        <v>3</v>
      </c>
      <c r="M4061" s="1146"/>
      <c r="N4061" s="226"/>
      <c r="O4061" s="1119"/>
      <c r="P4061" s="441"/>
      <c r="Q4061" s="441"/>
      <c r="R4061" s="441"/>
      <c r="S4061" s="44"/>
      <c r="T4061" s="44"/>
      <c r="U4061" s="441"/>
    </row>
    <row r="4062" spans="1:24" s="59" customFormat="1" ht="30" customHeight="1">
      <c r="A4062" s="45"/>
      <c r="B4062" s="189"/>
      <c r="C4062" s="189"/>
      <c r="D4062" s="189"/>
      <c r="E4062" s="153"/>
      <c r="F4062" s="1174" t="s">
        <v>308</v>
      </c>
      <c r="G4062" s="1208" t="s">
        <v>309</v>
      </c>
      <c r="H4062" s="1208"/>
      <c r="I4062" s="1208"/>
      <c r="J4062" s="1208"/>
      <c r="K4062" s="123">
        <v>1.06</v>
      </c>
      <c r="L4062" s="10"/>
      <c r="M4062" s="1146"/>
      <c r="N4062" s="637"/>
      <c r="O4062" s="33"/>
      <c r="P4062" s="441"/>
      <c r="Q4062" s="441"/>
      <c r="R4062" s="441"/>
      <c r="S4062" s="44"/>
      <c r="T4062" s="44"/>
      <c r="U4062" s="441"/>
    </row>
    <row r="4063" spans="1:24" s="59" customFormat="1" ht="30" customHeight="1">
      <c r="A4063" s="45"/>
      <c r="B4063" s="189"/>
      <c r="C4063" s="189"/>
      <c r="D4063" s="189"/>
      <c r="E4063" s="153"/>
      <c r="F4063" s="1175"/>
      <c r="G4063" s="1209" t="s">
        <v>310</v>
      </c>
      <c r="H4063" s="1209"/>
      <c r="I4063" s="1209"/>
      <c r="J4063" s="1209"/>
      <c r="K4063" s="123">
        <v>1.07</v>
      </c>
      <c r="L4063" s="10"/>
      <c r="M4063" s="1146"/>
      <c r="N4063" s="226"/>
      <c r="O4063" s="33"/>
      <c r="P4063" s="34"/>
      <c r="Q4063" s="34"/>
      <c r="R4063" s="34"/>
      <c r="S4063" s="44"/>
      <c r="T4063" s="44"/>
      <c r="U4063" s="441"/>
    </row>
    <row r="4064" spans="1:24" s="59" customFormat="1" ht="30" customHeight="1">
      <c r="A4064" s="765"/>
      <c r="B4064" s="564"/>
      <c r="C4064" s="466"/>
      <c r="D4064" s="804"/>
      <c r="E4064" s="115"/>
      <c r="F4064" s="5"/>
      <c r="G4064" s="401"/>
      <c r="H4064" s="489"/>
      <c r="I4064" s="10"/>
      <c r="J4064" s="10" t="s">
        <v>289</v>
      </c>
      <c r="K4064" s="14">
        <f>+K4061*K4062/K4063</f>
        <v>2237.4420560747662</v>
      </c>
      <c r="L4064" s="10" t="s">
        <v>3</v>
      </c>
      <c r="M4064" s="1146"/>
      <c r="N4064" s="226"/>
      <c r="O4064" s="33"/>
      <c r="P4064" s="34"/>
      <c r="Q4064" s="34"/>
      <c r="R4064" s="34"/>
      <c r="S4064" s="44"/>
      <c r="T4064" s="32"/>
      <c r="U4064" s="34"/>
      <c r="V4064"/>
      <c r="W4064"/>
      <c r="X4064"/>
    </row>
    <row r="4065" spans="1:24" ht="30" customHeight="1">
      <c r="A4065" s="765"/>
      <c r="B4065" s="180"/>
      <c r="C4065" s="180"/>
      <c r="D4065" s="180"/>
      <c r="E4065" s="115"/>
      <c r="F4065" s="10"/>
      <c r="G4065" s="813" t="s">
        <v>385</v>
      </c>
      <c r="H4065" s="10"/>
      <c r="I4065" s="10"/>
      <c r="J4065" s="139">
        <f>VLOOKUP(B4059,'Mil Cost Premiums for RUCs'!$A$4:$R$266,18,FALSE)</f>
        <v>1.0905505199999999</v>
      </c>
      <c r="K4065" s="14">
        <f>+K4064*J4065</f>
        <v>2440.043597722205</v>
      </c>
      <c r="L4065" s="10" t="s">
        <v>3</v>
      </c>
      <c r="M4065" s="1146"/>
      <c r="N4065" s="226"/>
      <c r="P4065" s="32"/>
      <c r="Q4065" s="32"/>
      <c r="R4065" s="32"/>
      <c r="S4065" s="32"/>
      <c r="T4065" s="32"/>
      <c r="U4065" s="34"/>
    </row>
    <row r="4066" spans="1:24" ht="60" customHeight="1">
      <c r="A4066" s="1337" t="s">
        <v>313</v>
      </c>
      <c r="B4066" s="1338"/>
      <c r="C4066" s="1338"/>
      <c r="D4066" s="1338"/>
      <c r="E4066" s="1338"/>
      <c r="F4066" s="1338"/>
      <c r="G4066" s="1338"/>
      <c r="H4066" s="1338"/>
      <c r="I4066" s="1338"/>
      <c r="J4066" s="1338"/>
      <c r="K4066" s="1338"/>
      <c r="L4066" s="1339"/>
      <c r="M4066" s="1146"/>
      <c r="N4066" s="226"/>
      <c r="P4066" s="32"/>
      <c r="Q4066" s="32"/>
      <c r="R4066" s="32"/>
      <c r="S4066" s="32"/>
      <c r="T4066" s="32"/>
      <c r="U4066" s="32"/>
      <c r="V4066" s="32"/>
      <c r="W4066" s="32"/>
      <c r="X4066" s="32"/>
    </row>
    <row r="4067" spans="1:24" s="32" customFormat="1" ht="30" customHeight="1">
      <c r="A4067" s="1406" t="s">
        <v>314</v>
      </c>
      <c r="B4067" s="1407"/>
      <c r="C4067" s="1408"/>
      <c r="D4067" s="1270" t="s">
        <v>2155</v>
      </c>
      <c r="E4067" s="1371"/>
      <c r="F4067" s="1371"/>
      <c r="G4067" s="1371"/>
      <c r="H4067" s="1371"/>
      <c r="I4067" s="1371"/>
      <c r="J4067" s="1371"/>
      <c r="K4067" s="1371"/>
      <c r="L4067" s="1372"/>
      <c r="M4067" s="1146"/>
      <c r="N4067" s="226"/>
      <c r="O4067" s="33"/>
      <c r="T4067"/>
    </row>
    <row r="4068" spans="1:24" s="32" customFormat="1" ht="30" customHeight="1">
      <c r="A4068" s="1406" t="s">
        <v>316</v>
      </c>
      <c r="B4068" s="1407"/>
      <c r="C4068" s="1408"/>
      <c r="D4068" s="1270" t="s">
        <v>2124</v>
      </c>
      <c r="E4068" s="1371"/>
      <c r="F4068" s="1371"/>
      <c r="G4068" s="1371"/>
      <c r="H4068" s="1371"/>
      <c r="I4068" s="1371"/>
      <c r="J4068" s="1371"/>
      <c r="K4068" s="1371"/>
      <c r="L4068" s="1372"/>
      <c r="M4068" s="1146"/>
      <c r="N4068" s="226"/>
      <c r="O4068" s="1119"/>
      <c r="P4068"/>
      <c r="Q4068"/>
      <c r="R4068"/>
      <c r="S4068"/>
      <c r="T4068"/>
    </row>
    <row r="4069" spans="1:24" s="32" customFormat="1" ht="30" customHeight="1">
      <c r="A4069" s="1406" t="s">
        <v>317</v>
      </c>
      <c r="B4069" s="1407"/>
      <c r="C4069" s="1408"/>
      <c r="D4069" s="1270" t="s">
        <v>2156</v>
      </c>
      <c r="E4069" s="1371"/>
      <c r="F4069" s="1371"/>
      <c r="G4069" s="1371"/>
      <c r="H4069" s="1371"/>
      <c r="I4069" s="1371"/>
      <c r="J4069" s="1371"/>
      <c r="K4069" s="1371"/>
      <c r="L4069" s="1372"/>
      <c r="M4069" s="1146"/>
      <c r="N4069" s="1100"/>
      <c r="O4069" s="1119"/>
      <c r="P4069"/>
      <c r="Q4069"/>
      <c r="R4069"/>
      <c r="S4069"/>
      <c r="T4069"/>
    </row>
    <row r="4070" spans="1:24" s="32" customFormat="1" ht="30" customHeight="1">
      <c r="A4070" s="1406" t="s">
        <v>318</v>
      </c>
      <c r="B4070" s="1407"/>
      <c r="C4070" s="1408"/>
      <c r="D4070" s="1270" t="s">
        <v>2157</v>
      </c>
      <c r="E4070" s="1371"/>
      <c r="F4070" s="1371"/>
      <c r="G4070" s="1371"/>
      <c r="H4070" s="1371"/>
      <c r="I4070" s="1371"/>
      <c r="J4070" s="1371"/>
      <c r="K4070" s="1371"/>
      <c r="L4070" s="1372"/>
      <c r="M4070" s="1146"/>
      <c r="N4070" s="226"/>
      <c r="O4070"/>
      <c r="P4070"/>
      <c r="Q4070"/>
      <c r="R4070"/>
      <c r="S4070"/>
      <c r="T4070" s="44"/>
      <c r="U4070"/>
      <c r="V4070"/>
      <c r="W4070"/>
      <c r="X4070"/>
    </row>
    <row r="4071" spans="1:24" ht="30" customHeight="1">
      <c r="A4071" s="1406" t="s">
        <v>320</v>
      </c>
      <c r="B4071" s="1407"/>
      <c r="C4071" s="1408"/>
      <c r="D4071" s="1270" t="s">
        <v>2152</v>
      </c>
      <c r="E4071" s="1371"/>
      <c r="F4071" s="1371"/>
      <c r="G4071" s="1371"/>
      <c r="H4071" s="1371"/>
      <c r="I4071" s="1371"/>
      <c r="J4071" s="1371"/>
      <c r="K4071" s="1371"/>
      <c r="L4071" s="1372"/>
      <c r="M4071" s="1146"/>
      <c r="O4071"/>
      <c r="P4071" s="34"/>
      <c r="Q4071" s="34"/>
      <c r="R4071" s="34"/>
      <c r="S4071" s="44"/>
      <c r="T4071" s="44"/>
    </row>
    <row r="4072" spans="1:24" ht="30" customHeight="1">
      <c r="A4072" s="1406" t="s">
        <v>322</v>
      </c>
      <c r="B4072" s="1407"/>
      <c r="C4072" s="1408"/>
      <c r="D4072" s="1270" t="s">
        <v>1891</v>
      </c>
      <c r="E4072" s="1371"/>
      <c r="F4072" s="1371"/>
      <c r="G4072" s="1371"/>
      <c r="H4072" s="1371"/>
      <c r="I4072" s="1371"/>
      <c r="J4072" s="1371"/>
      <c r="K4072" s="1371"/>
      <c r="L4072" s="1372"/>
      <c r="M4072" s="1146"/>
      <c r="P4072" s="34"/>
      <c r="Q4072" s="34"/>
      <c r="R4072" s="34"/>
      <c r="S4072" s="44"/>
    </row>
    <row r="4073" spans="1:24" ht="30" customHeight="1">
      <c r="A4073" s="1406" t="s">
        <v>324</v>
      </c>
      <c r="B4073" s="1407"/>
      <c r="C4073" s="1408"/>
      <c r="D4073" s="1270" t="s">
        <v>2067</v>
      </c>
      <c r="E4073" s="1371"/>
      <c r="F4073" s="1371"/>
      <c r="G4073" s="1371"/>
      <c r="H4073" s="1371"/>
      <c r="I4073" s="1371"/>
      <c r="J4073" s="1371"/>
      <c r="K4073" s="1371"/>
      <c r="L4073" s="1372"/>
      <c r="M4073" s="1146"/>
      <c r="N4073" s="125"/>
      <c r="O4073" s="38"/>
      <c r="P4073" s="159"/>
      <c r="Q4073" s="147"/>
      <c r="R4073" s="149"/>
    </row>
    <row r="4074" spans="1:24" ht="30" customHeight="1">
      <c r="A4074" s="1406" t="s">
        <v>325</v>
      </c>
      <c r="B4074" s="1407"/>
      <c r="C4074" s="1408"/>
      <c r="D4074" s="1270" t="s">
        <v>326</v>
      </c>
      <c r="E4074" s="1371"/>
      <c r="F4074" s="1371"/>
      <c r="G4074" s="1371"/>
      <c r="H4074" s="1371"/>
      <c r="I4074" s="1371"/>
      <c r="J4074" s="1371"/>
      <c r="K4074" s="1371"/>
      <c r="L4074" s="1372"/>
      <c r="M4074" s="1146"/>
      <c r="N4074" s="125"/>
      <c r="O4074"/>
      <c r="P4074" s="159"/>
      <c r="Q4074" s="147"/>
      <c r="R4074" s="149"/>
    </row>
    <row r="4075" spans="1:24" ht="47.25" customHeight="1" thickBot="1">
      <c r="A4075" s="1602" t="s">
        <v>327</v>
      </c>
      <c r="B4075" s="1603"/>
      <c r="C4075" s="1604"/>
      <c r="D4075" s="1270" t="s">
        <v>2824</v>
      </c>
      <c r="E4075" s="1371"/>
      <c r="F4075" s="1371"/>
      <c r="G4075" s="1371"/>
      <c r="H4075" s="1371"/>
      <c r="I4075" s="1371"/>
      <c r="J4075" s="1371"/>
      <c r="K4075" s="1371"/>
      <c r="L4075" s="1372"/>
      <c r="M4075" s="1146"/>
      <c r="N4075" s="125"/>
      <c r="O4075" s="763"/>
      <c r="Q4075" s="147"/>
      <c r="R4075" s="149"/>
      <c r="T4075" s="38"/>
      <c r="U4075" s="38"/>
      <c r="V4075" s="38"/>
      <c r="W4075" s="38"/>
      <c r="X4075" s="38"/>
    </row>
    <row r="4076" spans="1:24" s="38" customFormat="1" ht="30" customHeight="1" thickBot="1">
      <c r="A4076" s="1165"/>
      <c r="B4076" s="1166"/>
      <c r="C4076" s="1166"/>
      <c r="D4076" s="1166"/>
      <c r="E4076" s="1166"/>
      <c r="F4076" s="1166"/>
      <c r="G4076" s="1166"/>
      <c r="H4076" s="1166"/>
      <c r="I4076" s="1166"/>
      <c r="J4076" s="1166"/>
      <c r="K4076" s="1166"/>
      <c r="L4076" s="1167"/>
      <c r="M4076" s="1146"/>
      <c r="N4076" s="25"/>
      <c r="O4076"/>
      <c r="Q4076" s="147"/>
      <c r="R4076" s="149"/>
      <c r="T4076"/>
      <c r="U4076"/>
      <c r="V4076"/>
      <c r="W4076"/>
      <c r="X4076"/>
    </row>
    <row r="4077" spans="1:24" ht="30" customHeight="1">
      <c r="A4077" s="108" t="s">
        <v>280</v>
      </c>
      <c r="B4077" s="163">
        <v>8526</v>
      </c>
      <c r="C4077" s="1596" t="s">
        <v>2158</v>
      </c>
      <c r="D4077" s="1410"/>
      <c r="E4077" s="216" t="s">
        <v>282</v>
      </c>
      <c r="F4077" s="217" t="s">
        <v>3</v>
      </c>
      <c r="G4077" s="58" t="s">
        <v>290</v>
      </c>
      <c r="H4077" s="245">
        <v>892</v>
      </c>
      <c r="I4077" s="216" t="s">
        <v>283</v>
      </c>
      <c r="J4077" s="1199" t="s">
        <v>2529</v>
      </c>
      <c r="K4077" s="1199"/>
      <c r="L4077" s="1200"/>
      <c r="M4077" s="1146"/>
      <c r="O4077"/>
      <c r="P4077" s="159"/>
      <c r="Q4077" s="147"/>
      <c r="R4077" s="149"/>
    </row>
    <row r="4078" spans="1:24" ht="30" customHeight="1">
      <c r="A4078" s="294" t="s">
        <v>304</v>
      </c>
      <c r="B4078" s="1324" t="s">
        <v>330</v>
      </c>
      <c r="C4078" s="1325"/>
      <c r="D4078" s="1326"/>
      <c r="E4078" s="219" t="s">
        <v>295</v>
      </c>
      <c r="F4078" s="219" t="s">
        <v>331</v>
      </c>
      <c r="G4078" s="1327" t="s">
        <v>332</v>
      </c>
      <c r="H4078" s="1328"/>
      <c r="I4078" s="167" t="s">
        <v>305</v>
      </c>
      <c r="J4078" s="167"/>
      <c r="K4078" s="1303" t="s">
        <v>297</v>
      </c>
      <c r="L4078" s="1304"/>
      <c r="M4078" s="1146"/>
      <c r="O4078"/>
      <c r="P4078" s="159"/>
      <c r="Q4078" s="147"/>
      <c r="R4078" s="149"/>
      <c r="S4078" s="59"/>
    </row>
    <row r="4079" spans="1:24" ht="30" customHeight="1">
      <c r="A4079" s="24" t="s">
        <v>473</v>
      </c>
      <c r="B4079" s="1182" t="s">
        <v>2130</v>
      </c>
      <c r="C4079" s="1183"/>
      <c r="D4079" s="1184"/>
      <c r="E4079" s="295">
        <v>81.5</v>
      </c>
      <c r="F4079" s="800" t="s">
        <v>2131</v>
      </c>
      <c r="G4079" s="296">
        <v>35</v>
      </c>
      <c r="H4079" s="814" t="s">
        <v>2159</v>
      </c>
      <c r="I4079" s="10">
        <v>1.05</v>
      </c>
      <c r="J4079" s="10"/>
      <c r="K4079" s="815">
        <f>+E4079/G4079*I4079</f>
        <v>2.4450000000000003</v>
      </c>
      <c r="L4079" s="5" t="s">
        <v>3</v>
      </c>
      <c r="M4079" s="1146"/>
      <c r="N4079" s="612"/>
      <c r="O4079"/>
      <c r="P4079" s="159"/>
      <c r="Q4079" s="147"/>
      <c r="R4079" s="149"/>
      <c r="S4079" s="59"/>
      <c r="T4079" s="59"/>
      <c r="U4079" s="59"/>
      <c r="V4079" s="59"/>
      <c r="W4079" s="59"/>
      <c r="X4079" s="59"/>
    </row>
    <row r="4080" spans="1:24" s="59" customFormat="1" ht="30" customHeight="1">
      <c r="A4080" s="24" t="s">
        <v>473</v>
      </c>
      <c r="B4080" s="1182" t="s">
        <v>2133</v>
      </c>
      <c r="C4080" s="1183"/>
      <c r="D4080" s="1184"/>
      <c r="E4080" s="299">
        <v>165</v>
      </c>
      <c r="F4080" s="800" t="s">
        <v>2131</v>
      </c>
      <c r="G4080" s="296">
        <v>35</v>
      </c>
      <c r="H4080" s="814" t="s">
        <v>2159</v>
      </c>
      <c r="I4080" s="10">
        <v>1.05</v>
      </c>
      <c r="J4080" s="10"/>
      <c r="K4080" s="815">
        <f>+E4080/G4080*I4080</f>
        <v>4.95</v>
      </c>
      <c r="L4080" s="5" t="s">
        <v>3</v>
      </c>
      <c r="M4080" s="1146"/>
      <c r="N4080" s="612"/>
      <c r="O4080" s="34"/>
      <c r="P4080" s="159"/>
      <c r="Q4080" s="147"/>
      <c r="R4080" s="149"/>
      <c r="S4080"/>
    </row>
    <row r="4081" spans="1:24" s="59" customFormat="1" ht="30" customHeight="1">
      <c r="A4081" s="24" t="s">
        <v>473</v>
      </c>
      <c r="B4081" s="13" t="s">
        <v>2160</v>
      </c>
      <c r="C4081" s="232"/>
      <c r="D4081" s="233"/>
      <c r="E4081" s="299">
        <v>715</v>
      </c>
      <c r="F4081" s="800" t="s">
        <v>2131</v>
      </c>
      <c r="G4081" s="296">
        <v>35</v>
      </c>
      <c r="H4081" s="814" t="s">
        <v>2159</v>
      </c>
      <c r="I4081" s="10">
        <v>1.05</v>
      </c>
      <c r="J4081" s="10"/>
      <c r="K4081" s="815">
        <f>+E4081/G4081*I4081</f>
        <v>21.45</v>
      </c>
      <c r="L4081" s="5" t="s">
        <v>3</v>
      </c>
      <c r="M4081" s="1146"/>
      <c r="N4081" s="764"/>
      <c r="O4081" s="34"/>
      <c r="P4081" s="159"/>
      <c r="Q4081" s="147"/>
      <c r="R4081" s="149"/>
      <c r="S4081"/>
    </row>
    <row r="4082" spans="1:24" s="59" customFormat="1" ht="30" customHeight="1">
      <c r="A4082" s="47"/>
      <c r="B4082" s="1329" t="s">
        <v>2161</v>
      </c>
      <c r="C4082" s="1329"/>
      <c r="D4082" s="1329"/>
      <c r="E4082" s="115"/>
      <c r="F4082" s="10"/>
      <c r="G4082" s="1593" t="s">
        <v>2162</v>
      </c>
      <c r="H4082" s="1594"/>
      <c r="I4082" s="399"/>
      <c r="J4082" s="10" t="s">
        <v>346</v>
      </c>
      <c r="K4082" s="816">
        <f>SUM(K4079:K4081)</f>
        <v>28.844999999999999</v>
      </c>
      <c r="L4082" s="10" t="s">
        <v>3</v>
      </c>
      <c r="M4082" s="1146"/>
      <c r="N4082" s="764"/>
      <c r="O4082"/>
      <c r="P4082" s="159"/>
      <c r="Q4082" s="147"/>
      <c r="R4082" s="149"/>
      <c r="S4082"/>
      <c r="T4082"/>
      <c r="U4082"/>
      <c r="V4082"/>
      <c r="W4082"/>
      <c r="X4082"/>
    </row>
    <row r="4083" spans="1:24" ht="30" customHeight="1">
      <c r="A4083" s="45"/>
      <c r="B4083" s="157"/>
      <c r="C4083" s="157"/>
      <c r="D4083" s="157"/>
      <c r="E4083" s="153"/>
      <c r="F4083" s="1174" t="s">
        <v>308</v>
      </c>
      <c r="G4083" s="1208" t="s">
        <v>309</v>
      </c>
      <c r="H4083" s="1208"/>
      <c r="I4083" s="1208"/>
      <c r="J4083" s="1208"/>
      <c r="K4083" s="123">
        <v>1.06</v>
      </c>
      <c r="L4083" s="10"/>
      <c r="M4083" s="1146"/>
      <c r="N4083" s="1103"/>
      <c r="O4083"/>
      <c r="P4083" s="283"/>
      <c r="Q4083" s="282"/>
      <c r="R4083" s="284"/>
    </row>
    <row r="4084" spans="1:24" ht="30" customHeight="1">
      <c r="A4084" s="45"/>
      <c r="B4084" s="157"/>
      <c r="C4084" s="157"/>
      <c r="D4084" s="157"/>
      <c r="E4084" s="153"/>
      <c r="F4084" s="1175"/>
      <c r="G4084" s="1209" t="s">
        <v>310</v>
      </c>
      <c r="H4084" s="1209"/>
      <c r="I4084" s="1209"/>
      <c r="J4084" s="1209"/>
      <c r="K4084" s="123">
        <v>1.07</v>
      </c>
      <c r="L4084" s="10"/>
      <c r="M4084" s="1146"/>
      <c r="N4084" s="1116"/>
      <c r="O4084"/>
      <c r="P4084" s="283"/>
      <c r="Q4084" s="282"/>
      <c r="R4084" s="284"/>
    </row>
    <row r="4085" spans="1:24" ht="30" customHeight="1">
      <c r="A4085" s="47"/>
      <c r="B4085" s="1593"/>
      <c r="C4085" s="1594"/>
      <c r="D4085" s="1595"/>
      <c r="E4085" s="13"/>
      <c r="F4085" s="13"/>
      <c r="G4085" s="13"/>
      <c r="H4085" s="13"/>
      <c r="I4085" s="13"/>
      <c r="J4085" s="10" t="s">
        <v>289</v>
      </c>
      <c r="K4085" s="816">
        <f>+K4082*K4083/K4084</f>
        <v>28.575420560747663</v>
      </c>
      <c r="L4085" s="10" t="s">
        <v>3</v>
      </c>
      <c r="M4085" s="1146"/>
      <c r="N4085" s="1116"/>
      <c r="O4085"/>
      <c r="P4085" s="159"/>
      <c r="Q4085" s="147"/>
      <c r="R4085" s="149"/>
    </row>
    <row r="4086" spans="1:24" ht="30" customHeight="1">
      <c r="A4086" s="47"/>
      <c r="B4086" s="133"/>
      <c r="C4086" s="130"/>
      <c r="D4086" s="130"/>
      <c r="E4086" s="13"/>
      <c r="F4086" s="13"/>
      <c r="G4086" s="235" t="s">
        <v>385</v>
      </c>
      <c r="H4086" s="13"/>
      <c r="I4086" s="13"/>
      <c r="J4086" s="139">
        <f>VLOOKUP(B4077,'Mil Cost Premiums for RUCs'!$A$4:$R$266,18,FALSE)</f>
        <v>1.0905505199999999</v>
      </c>
      <c r="K4086" s="816">
        <f>+K4085*J4086</f>
        <v>31.162939751742051</v>
      </c>
      <c r="L4086" s="10" t="s">
        <v>3</v>
      </c>
      <c r="M4086" s="1146"/>
      <c r="N4086" s="1103"/>
      <c r="O4086" s="38"/>
      <c r="P4086" s="159"/>
      <c r="Q4086" s="147"/>
      <c r="R4086" s="149"/>
    </row>
    <row r="4087" spans="1:24" ht="60" customHeight="1">
      <c r="A4087" s="1337" t="s">
        <v>313</v>
      </c>
      <c r="B4087" s="1338"/>
      <c r="C4087" s="1338"/>
      <c r="D4087" s="1338"/>
      <c r="E4087" s="1338"/>
      <c r="F4087" s="1338"/>
      <c r="G4087" s="1338"/>
      <c r="H4087" s="1338"/>
      <c r="I4087" s="1338"/>
      <c r="J4087" s="1338"/>
      <c r="K4087" s="1338"/>
      <c r="L4087" s="1339"/>
      <c r="M4087" s="1146"/>
      <c r="N4087" s="1103"/>
      <c r="O4087" s="59"/>
      <c r="P4087" s="159"/>
      <c r="Q4087" s="147"/>
      <c r="R4087" s="149"/>
    </row>
    <row r="4088" spans="1:24" ht="30" customHeight="1">
      <c r="A4088" s="1406" t="s">
        <v>314</v>
      </c>
      <c r="B4088" s="1407"/>
      <c r="C4088" s="1408"/>
      <c r="D4088" s="1270" t="s">
        <v>2163</v>
      </c>
      <c r="E4088" s="1371"/>
      <c r="F4088" s="1371"/>
      <c r="G4088" s="1371"/>
      <c r="H4088" s="1371"/>
      <c r="I4088" s="1371"/>
      <c r="J4088" s="1371"/>
      <c r="K4088" s="1371"/>
      <c r="L4088" s="1372"/>
      <c r="M4088" s="1146"/>
      <c r="N4088" s="1103"/>
      <c r="O4088" s="34"/>
      <c r="P4088" s="159"/>
      <c r="Q4088" s="147"/>
      <c r="R4088" s="149"/>
      <c r="T4088" s="38"/>
      <c r="U4088" s="38"/>
      <c r="V4088" s="38"/>
      <c r="W4088" s="38"/>
      <c r="X4088" s="38"/>
    </row>
    <row r="4089" spans="1:24" s="38" customFormat="1" ht="30" customHeight="1">
      <c r="A4089" s="1406" t="s">
        <v>316</v>
      </c>
      <c r="B4089" s="1407"/>
      <c r="C4089" s="1408"/>
      <c r="D4089" s="1270" t="s">
        <v>2164</v>
      </c>
      <c r="E4089" s="1371"/>
      <c r="F4089" s="1371"/>
      <c r="G4089" s="1371"/>
      <c r="H4089" s="1371"/>
      <c r="I4089" s="1371"/>
      <c r="J4089" s="1371"/>
      <c r="K4089" s="1371"/>
      <c r="L4089" s="1372"/>
      <c r="M4089" s="1146"/>
      <c r="N4089" s="282"/>
      <c r="O4089" s="34"/>
      <c r="P4089" s="159"/>
      <c r="Q4089" s="147"/>
      <c r="R4089" s="149"/>
      <c r="T4089" s="59"/>
      <c r="U4089" s="59"/>
      <c r="V4089" s="59"/>
      <c r="W4089" s="59"/>
      <c r="X4089" s="59"/>
    </row>
    <row r="4090" spans="1:24" s="59" customFormat="1" ht="30" customHeight="1">
      <c r="A4090" s="1406" t="s">
        <v>317</v>
      </c>
      <c r="B4090" s="1407"/>
      <c r="C4090" s="1408"/>
      <c r="D4090" s="1270" t="s">
        <v>2165</v>
      </c>
      <c r="E4090" s="1371"/>
      <c r="F4090" s="1371"/>
      <c r="G4090" s="1371"/>
      <c r="H4090" s="1371"/>
      <c r="I4090" s="1371"/>
      <c r="J4090" s="1371"/>
      <c r="K4090" s="1371"/>
      <c r="L4090" s="1372"/>
      <c r="M4090" s="1146"/>
      <c r="N4090" s="282"/>
      <c r="O4090"/>
      <c r="P4090" s="308"/>
      <c r="Q4090" s="307"/>
      <c r="R4090" s="309"/>
      <c r="T4090"/>
      <c r="U4090"/>
      <c r="V4090"/>
      <c r="W4090"/>
      <c r="X4090"/>
    </row>
    <row r="4091" spans="1:24" ht="30" customHeight="1">
      <c r="A4091" s="1406" t="s">
        <v>318</v>
      </c>
      <c r="B4091" s="1407"/>
      <c r="C4091" s="1408"/>
      <c r="D4091" s="1270" t="s">
        <v>2166</v>
      </c>
      <c r="E4091" s="1371"/>
      <c r="F4091" s="1371"/>
      <c r="G4091" s="1371"/>
      <c r="H4091" s="1371"/>
      <c r="I4091" s="1371"/>
      <c r="J4091" s="1371"/>
      <c r="K4091" s="1371"/>
      <c r="L4091" s="1372"/>
      <c r="M4091" s="1146"/>
      <c r="N4091" s="1103"/>
      <c r="O4091"/>
      <c r="P4091" s="283"/>
      <c r="Q4091" s="282"/>
      <c r="R4091" s="284"/>
    </row>
    <row r="4092" spans="1:24" ht="30" customHeight="1">
      <c r="A4092" s="1406" t="s">
        <v>320</v>
      </c>
      <c r="B4092" s="1407"/>
      <c r="C4092" s="1408"/>
      <c r="D4092" s="1270" t="s">
        <v>2911</v>
      </c>
      <c r="E4092" s="1371"/>
      <c r="F4092" s="1371"/>
      <c r="G4092" s="1371"/>
      <c r="H4092" s="1371"/>
      <c r="I4092" s="1371"/>
      <c r="J4092" s="1371"/>
      <c r="K4092" s="1371"/>
      <c r="L4092" s="1372"/>
      <c r="M4092" s="1146"/>
      <c r="N4092" s="1103"/>
      <c r="O4092"/>
      <c r="P4092" s="283"/>
      <c r="Q4092" s="282"/>
      <c r="R4092" s="284"/>
    </row>
    <row r="4093" spans="1:24" ht="30" customHeight="1">
      <c r="A4093" s="1406" t="s">
        <v>322</v>
      </c>
      <c r="B4093" s="1407"/>
      <c r="C4093" s="1408"/>
      <c r="D4093" s="1270" t="s">
        <v>1891</v>
      </c>
      <c r="E4093" s="1371"/>
      <c r="F4093" s="1371"/>
      <c r="G4093" s="1371"/>
      <c r="H4093" s="1371"/>
      <c r="I4093" s="1371"/>
      <c r="J4093" s="1371"/>
      <c r="K4093" s="1371"/>
      <c r="L4093" s="1372"/>
      <c r="M4093" s="1146"/>
      <c r="N4093" s="1103"/>
      <c r="O4093"/>
      <c r="P4093" s="159"/>
      <c r="Q4093" s="147"/>
      <c r="R4093" s="149"/>
      <c r="S4093" s="59"/>
    </row>
    <row r="4094" spans="1:24" ht="30" customHeight="1">
      <c r="A4094" s="1406" t="s">
        <v>324</v>
      </c>
      <c r="B4094" s="1407"/>
      <c r="C4094" s="1408"/>
      <c r="D4094" s="1270" t="s">
        <v>2167</v>
      </c>
      <c r="E4094" s="1371"/>
      <c r="F4094" s="1371"/>
      <c r="G4094" s="1371"/>
      <c r="H4094" s="1371"/>
      <c r="I4094" s="1371"/>
      <c r="J4094" s="1371"/>
      <c r="K4094" s="1371"/>
      <c r="L4094" s="1372"/>
      <c r="M4094" s="1146"/>
      <c r="N4094" s="1103"/>
      <c r="O4094" s="38"/>
      <c r="P4094" s="159"/>
      <c r="Q4094" s="147"/>
      <c r="R4094" s="149"/>
    </row>
    <row r="4095" spans="1:24" ht="30" customHeight="1">
      <c r="A4095" s="1406" t="s">
        <v>325</v>
      </c>
      <c r="B4095" s="1407"/>
      <c r="C4095" s="1408"/>
      <c r="D4095" s="1270" t="s">
        <v>326</v>
      </c>
      <c r="E4095" s="1371"/>
      <c r="F4095" s="1371"/>
      <c r="G4095" s="1371"/>
      <c r="H4095" s="1371"/>
      <c r="I4095" s="1371"/>
      <c r="J4095" s="1371"/>
      <c r="K4095" s="1371"/>
      <c r="L4095" s="1372"/>
      <c r="M4095" s="1146"/>
      <c r="N4095" s="1103"/>
      <c r="O4095"/>
      <c r="P4095" s="159"/>
      <c r="Q4095" s="147"/>
      <c r="R4095" s="149"/>
    </row>
    <row r="4096" spans="1:24" ht="60" customHeight="1" thickBot="1">
      <c r="A4096" s="1498" t="s">
        <v>327</v>
      </c>
      <c r="B4096" s="1499"/>
      <c r="C4096" s="1500"/>
      <c r="D4096" s="1270" t="s">
        <v>2825</v>
      </c>
      <c r="E4096" s="1371"/>
      <c r="F4096" s="1371"/>
      <c r="G4096" s="1371"/>
      <c r="H4096" s="1371"/>
      <c r="I4096" s="1371"/>
      <c r="J4096" s="1371"/>
      <c r="K4096" s="1371"/>
      <c r="L4096" s="1372"/>
      <c r="M4096" s="1146"/>
      <c r="N4096" s="1103"/>
      <c r="O4096"/>
      <c r="P4096" s="159"/>
      <c r="Q4096" s="147"/>
      <c r="R4096" s="149"/>
      <c r="T4096" s="38"/>
      <c r="U4096" s="38"/>
      <c r="V4096" s="38"/>
      <c r="W4096" s="38"/>
      <c r="X4096" s="38"/>
    </row>
    <row r="4097" spans="1:24" s="38" customFormat="1" ht="30" customHeight="1" thickBot="1">
      <c r="A4097" s="1165"/>
      <c r="B4097" s="1166"/>
      <c r="C4097" s="1166"/>
      <c r="D4097" s="1166"/>
      <c r="E4097" s="1166"/>
      <c r="F4097" s="1166"/>
      <c r="G4097" s="1166"/>
      <c r="H4097" s="1166"/>
      <c r="I4097" s="1166"/>
      <c r="J4097" s="1166"/>
      <c r="K4097" s="1166"/>
      <c r="L4097" s="1167"/>
      <c r="M4097" s="1146"/>
      <c r="N4097" s="282"/>
      <c r="O4097"/>
      <c r="P4097" s="159"/>
      <c r="Q4097" s="147"/>
      <c r="R4097" s="149"/>
      <c r="T4097" s="59"/>
      <c r="U4097" s="59"/>
      <c r="V4097" s="59"/>
      <c r="W4097" s="59"/>
      <c r="X4097" s="59"/>
    </row>
    <row r="4098" spans="1:24" s="59" customFormat="1" ht="30" customHeight="1">
      <c r="A4098" s="27" t="s">
        <v>280</v>
      </c>
      <c r="B4098" s="28">
        <v>8531</v>
      </c>
      <c r="C4098" s="1215" t="s">
        <v>2168</v>
      </c>
      <c r="D4098" s="1216"/>
      <c r="E4098" s="74" t="s">
        <v>282</v>
      </c>
      <c r="F4098" s="75" t="s">
        <v>8</v>
      </c>
      <c r="G4098" s="58" t="s">
        <v>290</v>
      </c>
      <c r="H4098" s="336">
        <v>42980</v>
      </c>
      <c r="I4098" s="74" t="s">
        <v>283</v>
      </c>
      <c r="J4098" s="1199" t="s">
        <v>2579</v>
      </c>
      <c r="K4098" s="1230"/>
      <c r="L4098" s="1231"/>
      <c r="M4098" s="1146"/>
      <c r="N4098" s="282"/>
      <c r="O4098" s="34"/>
      <c r="P4098" s="159"/>
      <c r="Q4098" s="147"/>
      <c r="R4098" s="149"/>
      <c r="S4098"/>
    </row>
    <row r="4099" spans="1:24" s="59" customFormat="1" ht="30" customHeight="1">
      <c r="A4099" s="35" t="s">
        <v>293</v>
      </c>
      <c r="B4099" s="1299" t="s">
        <v>284</v>
      </c>
      <c r="C4099" s="1299"/>
      <c r="D4099" s="1299"/>
      <c r="E4099" s="78" t="s">
        <v>294</v>
      </c>
      <c r="F4099" s="96" t="s">
        <v>295</v>
      </c>
      <c r="G4099" s="77"/>
      <c r="H4099" s="77"/>
      <c r="I4099" s="1233" t="s">
        <v>426</v>
      </c>
      <c r="J4099" s="1234"/>
      <c r="K4099" s="1303" t="s">
        <v>297</v>
      </c>
      <c r="L4099" s="1304"/>
      <c r="M4099" s="1146"/>
      <c r="N4099" s="803"/>
      <c r="O4099" s="34"/>
      <c r="P4099" s="159"/>
      <c r="Q4099" s="147"/>
      <c r="R4099" s="149"/>
    </row>
    <row r="4100" spans="1:24" s="59" customFormat="1" ht="30" customHeight="1">
      <c r="A4100" s="48" t="s">
        <v>298</v>
      </c>
      <c r="B4100" s="1306" t="s">
        <v>2168</v>
      </c>
      <c r="C4100" s="1306"/>
      <c r="D4100" s="1306"/>
      <c r="E4100" s="98">
        <v>150000</v>
      </c>
      <c r="F4100" s="99">
        <v>55</v>
      </c>
      <c r="G4100" s="100"/>
      <c r="H4100" s="101"/>
      <c r="I4100" s="1192" t="s">
        <v>2551</v>
      </c>
      <c r="J4100" s="1193"/>
      <c r="K4100" s="99">
        <f>+F4100</f>
        <v>55</v>
      </c>
      <c r="L4100" s="97" t="s">
        <v>8</v>
      </c>
      <c r="M4100" s="1146"/>
      <c r="N4100" s="803"/>
      <c r="O4100"/>
      <c r="P4100" s="159"/>
      <c r="Q4100" s="147"/>
      <c r="R4100" s="149"/>
      <c r="T4100"/>
      <c r="U4100"/>
      <c r="V4100"/>
      <c r="W4100"/>
      <c r="X4100"/>
    </row>
    <row r="4101" spans="1:24" ht="30" customHeight="1" thickBot="1">
      <c r="A4101" s="45"/>
      <c r="B4101" s="1307"/>
      <c r="C4101" s="1307"/>
      <c r="D4101" s="1307"/>
      <c r="E4101" s="1225"/>
      <c r="F4101" s="1226"/>
      <c r="G4101" s="1226"/>
      <c r="H4101" s="1227"/>
      <c r="I4101" s="18"/>
      <c r="J4101" s="79" t="s">
        <v>289</v>
      </c>
      <c r="K4101" s="103">
        <f>+K4100</f>
        <v>55</v>
      </c>
      <c r="L4101" s="20" t="s">
        <v>8</v>
      </c>
      <c r="M4101" s="1146"/>
      <c r="N4101" s="1103"/>
      <c r="O4101" s="59"/>
      <c r="P4101" s="283"/>
      <c r="Q4101" s="282"/>
      <c r="R4101" s="284"/>
    </row>
    <row r="4102" spans="1:24" ht="30" customHeight="1" thickBot="1">
      <c r="A4102" s="1165"/>
      <c r="B4102" s="1166"/>
      <c r="C4102" s="1166"/>
      <c r="D4102" s="1166"/>
      <c r="E4102" s="1166"/>
      <c r="F4102" s="1166"/>
      <c r="G4102" s="1166"/>
      <c r="H4102" s="1166"/>
      <c r="I4102" s="1166"/>
      <c r="J4102" s="1166"/>
      <c r="K4102" s="1166"/>
      <c r="L4102" s="1167"/>
      <c r="M4102" s="1146"/>
      <c r="N4102" s="1103"/>
      <c r="O4102" s="59"/>
      <c r="P4102" s="283"/>
      <c r="Q4102" s="282"/>
      <c r="R4102" s="284"/>
    </row>
    <row r="4103" spans="1:24" ht="30" customHeight="1">
      <c r="A4103" s="27" t="s">
        <v>280</v>
      </c>
      <c r="B4103" s="28">
        <v>8541</v>
      </c>
      <c r="C4103" s="1215" t="s">
        <v>2169</v>
      </c>
      <c r="D4103" s="1216"/>
      <c r="E4103" s="30" t="s">
        <v>282</v>
      </c>
      <c r="F4103" s="31" t="s">
        <v>10</v>
      </c>
      <c r="G4103" s="181" t="s">
        <v>281</v>
      </c>
      <c r="H4103" s="701">
        <v>1</v>
      </c>
      <c r="I4103" s="30" t="s">
        <v>283</v>
      </c>
      <c r="J4103" s="1199" t="s">
        <v>2170</v>
      </c>
      <c r="K4103" s="1230"/>
      <c r="L4103" s="1231"/>
      <c r="M4103" s="1146"/>
      <c r="N4103" s="1103"/>
      <c r="O4103"/>
      <c r="P4103" s="159"/>
      <c r="Q4103" s="147"/>
      <c r="R4103" s="149"/>
      <c r="S4103" s="59"/>
    </row>
    <row r="4104" spans="1:24" ht="30" customHeight="1">
      <c r="A4104" s="35"/>
      <c r="B4104" s="1299" t="s">
        <v>284</v>
      </c>
      <c r="C4104" s="1299"/>
      <c r="D4104" s="1299"/>
      <c r="E4104" s="35" t="s">
        <v>512</v>
      </c>
      <c r="F4104" s="36" t="s">
        <v>2</v>
      </c>
      <c r="G4104" s="760"/>
      <c r="H4104" s="113" t="s">
        <v>337</v>
      </c>
      <c r="I4104" s="1233" t="s">
        <v>426</v>
      </c>
      <c r="J4104" s="1234"/>
      <c r="K4104" s="1303" t="s">
        <v>297</v>
      </c>
      <c r="L4104" s="1304"/>
      <c r="M4104" s="1146"/>
      <c r="N4104" s="1103"/>
      <c r="O4104" s="38"/>
      <c r="P4104" s="308"/>
      <c r="Q4104" s="307"/>
      <c r="R4104" s="309"/>
    </row>
    <row r="4105" spans="1:24" ht="30" customHeight="1">
      <c r="A4105" s="40"/>
      <c r="B4105" s="1721" t="s">
        <v>2169</v>
      </c>
      <c r="C4105" s="1721"/>
      <c r="D4105" s="1721"/>
      <c r="E4105" s="54"/>
      <c r="F4105" s="48" t="s">
        <v>2171</v>
      </c>
      <c r="G4105" s="957"/>
      <c r="H4105" s="958"/>
      <c r="I4105" s="1671"/>
      <c r="J4105" s="1672"/>
      <c r="K4105" s="54"/>
      <c r="L4105" s="40"/>
      <c r="M4105" s="1146"/>
      <c r="N4105" s="1103"/>
      <c r="O4105"/>
      <c r="P4105" s="308"/>
      <c r="Q4105" s="307"/>
      <c r="R4105" s="309"/>
    </row>
    <row r="4106" spans="1:24" ht="30" customHeight="1">
      <c r="A4106" s="40"/>
      <c r="B4106" s="1722" t="s">
        <v>2172</v>
      </c>
      <c r="C4106" s="1517"/>
      <c r="D4106" s="1518"/>
      <c r="E4106" s="819">
        <v>454500</v>
      </c>
      <c r="F4106" s="40">
        <v>1</v>
      </c>
      <c r="G4106" s="13"/>
      <c r="H4106" s="465">
        <v>1.07</v>
      </c>
      <c r="I4106" s="1192">
        <f>+'2019 MILCON Inflation Table'!F12</f>
        <v>1.1382049245432884</v>
      </c>
      <c r="J4106" s="1193"/>
      <c r="K4106" s="54">
        <f>+E4106/H4106*I4106</f>
        <v>483471.15720086405</v>
      </c>
      <c r="L4106" s="40" t="s">
        <v>10</v>
      </c>
      <c r="M4106" s="1146"/>
      <c r="N4106" s="1103"/>
      <c r="O4106"/>
      <c r="P4106" s="159"/>
      <c r="Q4106" s="147"/>
      <c r="R4106" s="149"/>
      <c r="T4106" s="38"/>
      <c r="U4106" s="38"/>
      <c r="V4106" s="38"/>
      <c r="W4106" s="38"/>
      <c r="X4106" s="38"/>
    </row>
    <row r="4107" spans="1:24" s="38" customFormat="1" ht="30" customHeight="1">
      <c r="A4107" s="40"/>
      <c r="B4107" s="1723" t="s">
        <v>2173</v>
      </c>
      <c r="C4107" s="1277"/>
      <c r="D4107" s="1278"/>
      <c r="E4107" s="819">
        <v>321986</v>
      </c>
      <c r="F4107" s="40">
        <v>1</v>
      </c>
      <c r="G4107" s="13"/>
      <c r="H4107" s="956">
        <v>1.08</v>
      </c>
      <c r="I4107" s="1192">
        <f>+'2019 MILCON Inflation Table'!F12</f>
        <v>1.1382049245432884</v>
      </c>
      <c r="J4107" s="1193"/>
      <c r="K4107" s="54">
        <f t="shared" ref="K4107:K4115" si="62">+E4107/H4107*I4107</f>
        <v>339338.93595740298</v>
      </c>
      <c r="L4107" s="40" t="s">
        <v>10</v>
      </c>
      <c r="M4107" s="1146"/>
      <c r="N4107" s="282"/>
      <c r="O4107"/>
      <c r="P4107" s="159"/>
      <c r="Q4107" s="147"/>
      <c r="R4107" s="149"/>
      <c r="T4107" s="59"/>
      <c r="U4107" s="59"/>
      <c r="V4107" s="59"/>
      <c r="W4107" s="59"/>
      <c r="X4107" s="59"/>
    </row>
    <row r="4108" spans="1:24" s="59" customFormat="1" ht="30" customHeight="1">
      <c r="A4108" s="40"/>
      <c r="B4108" s="1722" t="s">
        <v>2174</v>
      </c>
      <c r="C4108" s="1517"/>
      <c r="D4108" s="1518"/>
      <c r="E4108" s="819">
        <v>261930.52</v>
      </c>
      <c r="F4108" s="40">
        <v>1</v>
      </c>
      <c r="G4108" s="13"/>
      <c r="H4108" s="465">
        <v>0.95</v>
      </c>
      <c r="I4108" s="1192">
        <f>+'2019 MILCON Inflation Table'!F13</f>
        <v>1.0963107786467188</v>
      </c>
      <c r="J4108" s="1193"/>
      <c r="K4108" s="54">
        <f t="shared" si="62"/>
        <v>302270.79192898941</v>
      </c>
      <c r="L4108" s="40" t="s">
        <v>10</v>
      </c>
      <c r="M4108" s="1146"/>
      <c r="N4108" s="282"/>
      <c r="O4108" s="34"/>
      <c r="P4108" s="159"/>
      <c r="Q4108" s="147"/>
      <c r="R4108" s="149"/>
    </row>
    <row r="4109" spans="1:24" s="59" customFormat="1" ht="30" customHeight="1">
      <c r="A4109" s="40"/>
      <c r="B4109" s="1722" t="s">
        <v>2175</v>
      </c>
      <c r="C4109" s="1517"/>
      <c r="D4109" s="1518"/>
      <c r="E4109" s="819">
        <f>97749+116267+14434</f>
        <v>228450</v>
      </c>
      <c r="F4109" s="40">
        <v>1</v>
      </c>
      <c r="G4109" s="13"/>
      <c r="H4109" s="465">
        <v>1.22</v>
      </c>
      <c r="I4109" s="1192">
        <f>+'2019 MILCON Inflation Table'!F13</f>
        <v>1.0963107786467188</v>
      </c>
      <c r="J4109" s="1193"/>
      <c r="K4109" s="54">
        <f t="shared" si="62"/>
        <v>205288.68637855977</v>
      </c>
      <c r="L4109" s="40" t="s">
        <v>10</v>
      </c>
      <c r="M4109" s="1146"/>
      <c r="N4109" s="1103"/>
      <c r="O4109" s="34"/>
      <c r="P4109" s="159"/>
      <c r="Q4109" s="147"/>
      <c r="R4109" s="149"/>
    </row>
    <row r="4110" spans="1:24" s="59" customFormat="1" ht="30" customHeight="1">
      <c r="A4110" s="40"/>
      <c r="B4110" s="1722" t="s">
        <v>2176</v>
      </c>
      <c r="C4110" s="1517"/>
      <c r="D4110" s="1518"/>
      <c r="E4110" s="819">
        <v>361780</v>
      </c>
      <c r="F4110" s="40">
        <v>1</v>
      </c>
      <c r="G4110" s="13"/>
      <c r="H4110" s="465">
        <v>1.22</v>
      </c>
      <c r="I4110" s="1192">
        <f>+'2019 MILCON Inflation Table'!F12</f>
        <v>1.1382049245432884</v>
      </c>
      <c r="J4110" s="1193"/>
      <c r="K4110" s="54">
        <f t="shared" si="62"/>
        <v>337524.40786989412</v>
      </c>
      <c r="L4110" s="40" t="s">
        <v>10</v>
      </c>
      <c r="M4110" s="1146"/>
      <c r="N4110" s="1103"/>
      <c r="O4110"/>
      <c r="P4110" s="159"/>
      <c r="Q4110" s="147"/>
      <c r="R4110" s="149"/>
      <c r="T4110"/>
      <c r="U4110"/>
      <c r="V4110"/>
      <c r="W4110"/>
      <c r="X4110"/>
    </row>
    <row r="4111" spans="1:24" ht="30" customHeight="1">
      <c r="A4111" s="40"/>
      <c r="B4111" s="1722" t="s">
        <v>2177</v>
      </c>
      <c r="C4111" s="1517"/>
      <c r="D4111" s="1518"/>
      <c r="E4111" s="819">
        <v>246698</v>
      </c>
      <c r="F4111" s="40">
        <v>1</v>
      </c>
      <c r="G4111" s="13"/>
      <c r="H4111" s="465">
        <v>0.86</v>
      </c>
      <c r="I4111" s="1192">
        <f>+'2019 MILCON Inflation Table'!F11</f>
        <v>1.1845150624540779</v>
      </c>
      <c r="J4111" s="1193"/>
      <c r="K4111" s="54">
        <f t="shared" si="62"/>
        <v>339787.78706662339</v>
      </c>
      <c r="L4111" s="40" t="s">
        <v>10</v>
      </c>
      <c r="M4111" s="1146"/>
      <c r="N4111" s="1103"/>
      <c r="O4111"/>
      <c r="P4111" s="283"/>
      <c r="Q4111" s="282"/>
      <c r="R4111" s="284"/>
    </row>
    <row r="4112" spans="1:24" ht="30" customHeight="1">
      <c r="A4112" s="40"/>
      <c r="B4112" s="1722" t="s">
        <v>2178</v>
      </c>
      <c r="C4112" s="1517"/>
      <c r="D4112" s="1518"/>
      <c r="E4112" s="819">
        <v>185433</v>
      </c>
      <c r="F4112" s="40">
        <v>1</v>
      </c>
      <c r="G4112" s="13"/>
      <c r="H4112" s="465">
        <v>0.89</v>
      </c>
      <c r="I4112" s="1192">
        <f>+'2019 MILCON Inflation Table'!F13</f>
        <v>1.0963107786467188</v>
      </c>
      <c r="J4112" s="1193"/>
      <c r="K4112" s="54">
        <f t="shared" si="62"/>
        <v>228418.19844583934</v>
      </c>
      <c r="L4112" s="40" t="s">
        <v>10</v>
      </c>
      <c r="M4112" s="1146"/>
      <c r="N4112" s="803"/>
      <c r="O4112"/>
      <c r="P4112" s="283"/>
      <c r="Q4112" s="282"/>
      <c r="R4112" s="284"/>
      <c r="T4112" s="59"/>
      <c r="U4112" s="59"/>
      <c r="V4112" s="59"/>
      <c r="W4112" s="59"/>
      <c r="X4112" s="59"/>
    </row>
    <row r="4113" spans="1:24" s="59" customFormat="1" ht="30" customHeight="1">
      <c r="A4113" s="40"/>
      <c r="B4113" s="1722" t="s">
        <v>2179</v>
      </c>
      <c r="C4113" s="1517"/>
      <c r="D4113" s="1518"/>
      <c r="E4113" s="819">
        <v>276576</v>
      </c>
      <c r="F4113" s="40">
        <v>1</v>
      </c>
      <c r="G4113" s="13"/>
      <c r="H4113" s="465">
        <v>1.1200000000000001</v>
      </c>
      <c r="I4113" s="1192">
        <f>+'2019 MILCON Inflation Table'!F11</f>
        <v>1.1845150624540779</v>
      </c>
      <c r="J4113" s="1193"/>
      <c r="K4113" s="54">
        <f t="shared" si="62"/>
        <v>292507.53385115985</v>
      </c>
      <c r="L4113" s="40" t="s">
        <v>10</v>
      </c>
      <c r="M4113" s="1146"/>
      <c r="N4113" s="803"/>
      <c r="O4113"/>
      <c r="P4113" s="159"/>
      <c r="Q4113" s="147"/>
      <c r="R4113" s="149"/>
    </row>
    <row r="4114" spans="1:24" s="59" customFormat="1" ht="30" customHeight="1">
      <c r="A4114" s="40"/>
      <c r="B4114" s="1722" t="s">
        <v>2180</v>
      </c>
      <c r="C4114" s="1517"/>
      <c r="D4114" s="1518"/>
      <c r="E4114" s="819">
        <v>208000</v>
      </c>
      <c r="F4114" s="40">
        <v>1</v>
      </c>
      <c r="G4114" s="13"/>
      <c r="H4114" s="465">
        <v>0.97</v>
      </c>
      <c r="I4114" s="1192">
        <f>+'2019 MILCON Inflation Table'!F13</f>
        <v>1.0963107786467188</v>
      </c>
      <c r="J4114" s="1193"/>
      <c r="K4114" s="54">
        <f t="shared" si="62"/>
        <v>235085.19789537886</v>
      </c>
      <c r="L4114" s="40" t="s">
        <v>10</v>
      </c>
      <c r="M4114" s="1146"/>
      <c r="N4114" s="1103"/>
      <c r="O4114"/>
      <c r="P4114" s="159"/>
      <c r="Q4114" s="147"/>
      <c r="R4114" s="149"/>
    </row>
    <row r="4115" spans="1:24" s="59" customFormat="1" ht="30" customHeight="1">
      <c r="A4115" s="40"/>
      <c r="B4115" s="1722" t="s">
        <v>2181</v>
      </c>
      <c r="C4115" s="1517"/>
      <c r="D4115" s="1518"/>
      <c r="E4115" s="819">
        <v>280707</v>
      </c>
      <c r="F4115" s="40">
        <v>1</v>
      </c>
      <c r="G4115" s="13"/>
      <c r="H4115" s="465">
        <v>0.97</v>
      </c>
      <c r="I4115" s="1192">
        <f>+'2019 MILCON Inflation Table'!F13</f>
        <v>1.0963107786467188</v>
      </c>
      <c r="J4115" s="1193"/>
      <c r="K4115" s="54">
        <f t="shared" si="62"/>
        <v>317259.90695008711</v>
      </c>
      <c r="L4115" s="40" t="s">
        <v>10</v>
      </c>
      <c r="M4115" s="1146"/>
      <c r="N4115" s="1103"/>
      <c r="O4115"/>
      <c r="P4115" s="159"/>
      <c r="Q4115" s="147"/>
      <c r="R4115" s="149"/>
    </row>
    <row r="4116" spans="1:24" s="59" customFormat="1" ht="30" customHeight="1">
      <c r="A4116" s="45"/>
      <c r="B4116" s="820"/>
      <c r="C4116" s="189"/>
      <c r="D4116" s="189"/>
      <c r="E4116" s="52"/>
      <c r="F4116" s="40"/>
      <c r="G4116" s="21"/>
      <c r="H4116" s="46" t="s">
        <v>2182</v>
      </c>
      <c r="I4116" s="18"/>
      <c r="J4116" s="465"/>
      <c r="K4116" s="87">
        <f>AVERAGE(K4106:K4115)</f>
        <v>308095.26035447989</v>
      </c>
      <c r="L4116" s="40" t="s">
        <v>10</v>
      </c>
      <c r="M4116" s="1146"/>
      <c r="N4116" s="1103"/>
      <c r="O4116"/>
      <c r="P4116" s="159"/>
      <c r="Q4116" s="147"/>
      <c r="R4116" s="149"/>
    </row>
    <row r="4117" spans="1:24" s="59" customFormat="1" ht="30" customHeight="1" thickBot="1">
      <c r="A4117" s="45"/>
      <c r="B4117" s="1188" t="s">
        <v>2826</v>
      </c>
      <c r="C4117" s="1189"/>
      <c r="D4117" s="1190"/>
      <c r="E4117" s="66"/>
      <c r="F4117" s="821"/>
      <c r="H4117" s="821"/>
      <c r="I4117" s="822" t="s">
        <v>385</v>
      </c>
      <c r="J4117" s="139">
        <f>VLOOKUP(B4103,'Mil Cost Premiums for RUCs'!$A$4:$R$266,18,FALSE)</f>
        <v>1.0905505199999999</v>
      </c>
      <c r="K4117" s="87">
        <f>+K4116*J4117</f>
        <v>335993.44638911338</v>
      </c>
      <c r="L4117" s="45" t="s">
        <v>10</v>
      </c>
      <c r="M4117" s="1146"/>
      <c r="N4117" s="282"/>
      <c r="O4117"/>
      <c r="P4117" s="159"/>
      <c r="Q4117" s="147"/>
      <c r="R4117" s="149"/>
    </row>
    <row r="4118" spans="1:24" s="59" customFormat="1" ht="30" customHeight="1" thickBot="1">
      <c r="A4118" s="1165"/>
      <c r="B4118" s="1166"/>
      <c r="C4118" s="1166"/>
      <c r="D4118" s="1166"/>
      <c r="E4118" s="1166"/>
      <c r="F4118" s="1166"/>
      <c r="G4118" s="1166"/>
      <c r="H4118" s="1166"/>
      <c r="I4118" s="1166"/>
      <c r="J4118" s="1166"/>
      <c r="K4118" s="1166"/>
      <c r="L4118" s="1167"/>
      <c r="M4118" s="1146"/>
      <c r="N4118" s="282"/>
      <c r="O4118"/>
      <c r="P4118" s="159"/>
      <c r="Q4118" s="147"/>
      <c r="R4118" s="149"/>
    </row>
    <row r="4119" spans="1:24" s="59" customFormat="1" ht="30" customHeight="1">
      <c r="A4119" s="27" t="s">
        <v>280</v>
      </c>
      <c r="B4119" s="28">
        <v>8601</v>
      </c>
      <c r="C4119" s="1393" t="s">
        <v>2183</v>
      </c>
      <c r="D4119" s="1394"/>
      <c r="E4119" s="74" t="s">
        <v>282</v>
      </c>
      <c r="F4119" s="75" t="s">
        <v>13</v>
      </c>
      <c r="G4119" s="58" t="s">
        <v>290</v>
      </c>
      <c r="H4119" s="776">
        <v>190</v>
      </c>
      <c r="I4119" s="74" t="s">
        <v>283</v>
      </c>
      <c r="J4119" s="1199" t="s">
        <v>2529</v>
      </c>
      <c r="K4119" s="1199"/>
      <c r="L4119" s="1200"/>
      <c r="M4119" s="1146"/>
      <c r="N4119" s="1103"/>
      <c r="O4119"/>
      <c r="P4119" s="159"/>
      <c r="Q4119" s="147"/>
      <c r="R4119" s="149"/>
    </row>
    <row r="4120" spans="1:24" s="59" customFormat="1" ht="30" customHeight="1">
      <c r="A4120" s="37" t="s">
        <v>304</v>
      </c>
      <c r="B4120" s="1300" t="s">
        <v>330</v>
      </c>
      <c r="C4120" s="1301"/>
      <c r="D4120" s="1302"/>
      <c r="E4120" s="150" t="s">
        <v>295</v>
      </c>
      <c r="F4120" s="150" t="s">
        <v>331</v>
      </c>
      <c r="G4120" s="1204" t="s">
        <v>332</v>
      </c>
      <c r="H4120" s="1205"/>
      <c r="I4120" s="77" t="s">
        <v>305</v>
      </c>
      <c r="J4120" s="77"/>
      <c r="K4120" s="1303" t="s">
        <v>297</v>
      </c>
      <c r="L4120" s="1304"/>
      <c r="M4120" s="1146"/>
      <c r="N4120" s="1103"/>
      <c r="O4120"/>
      <c r="P4120" s="159"/>
      <c r="Q4120" s="147"/>
      <c r="R4120" s="149"/>
    </row>
    <row r="4121" spans="1:24" s="59" customFormat="1" ht="30" customHeight="1">
      <c r="A4121" s="45" t="s">
        <v>473</v>
      </c>
      <c r="B4121" s="1188" t="s">
        <v>2184</v>
      </c>
      <c r="C4121" s="1189"/>
      <c r="D4121" s="1190"/>
      <c r="E4121" s="335">
        <f>+(124+155)/2</f>
        <v>139.5</v>
      </c>
      <c r="F4121" s="22" t="s">
        <v>6</v>
      </c>
      <c r="G4121" s="780">
        <v>5280</v>
      </c>
      <c r="H4121" s="695" t="s">
        <v>2185</v>
      </c>
      <c r="I4121" s="20">
        <v>1.05</v>
      </c>
      <c r="J4121" s="22"/>
      <c r="K4121" s="23">
        <f>+E4121*G4121*I4121</f>
        <v>773388</v>
      </c>
      <c r="L4121" s="22" t="s">
        <v>13</v>
      </c>
      <c r="M4121" s="1146"/>
      <c r="N4121" s="1103"/>
      <c r="P4121" s="159"/>
      <c r="Q4121" s="147"/>
      <c r="R4121" s="149"/>
    </row>
    <row r="4122" spans="1:24" s="59" customFormat="1" ht="30" customHeight="1">
      <c r="A4122" s="652"/>
      <c r="B4122" s="1383" t="s">
        <v>2186</v>
      </c>
      <c r="C4122" s="1384"/>
      <c r="D4122" s="1385"/>
      <c r="E4122" s="153"/>
      <c r="F4122" s="20"/>
      <c r="G4122" s="20"/>
      <c r="H4122" s="20"/>
      <c r="I4122" s="20"/>
      <c r="J4122" s="20"/>
      <c r="K4122" s="153">
        <f>+K4121*0.75</f>
        <v>580041</v>
      </c>
      <c r="L4122" s="20" t="s">
        <v>13</v>
      </c>
      <c r="M4122" s="1146"/>
      <c r="N4122" s="1103"/>
      <c r="P4122" s="159"/>
      <c r="Q4122" s="147"/>
      <c r="R4122" s="149"/>
    </row>
    <row r="4123" spans="1:24" s="59" customFormat="1" ht="30" customHeight="1">
      <c r="A4123" s="45"/>
      <c r="B4123" s="189"/>
      <c r="C4123" s="189"/>
      <c r="D4123" s="189"/>
      <c r="E4123" s="153"/>
      <c r="F4123" s="1174" t="s">
        <v>308</v>
      </c>
      <c r="G4123" s="1208" t="s">
        <v>309</v>
      </c>
      <c r="H4123" s="1208"/>
      <c r="I4123" s="1208"/>
      <c r="J4123" s="1208"/>
      <c r="K4123" s="123">
        <v>1.06</v>
      </c>
      <c r="L4123" s="10"/>
      <c r="M4123" s="1146"/>
      <c r="N4123" s="1103"/>
      <c r="O4123"/>
      <c r="P4123" s="159"/>
      <c r="Q4123" s="147"/>
      <c r="R4123" s="149"/>
      <c r="T4123"/>
      <c r="U4123"/>
      <c r="V4123"/>
      <c r="W4123"/>
      <c r="X4123"/>
    </row>
    <row r="4124" spans="1:24" ht="30" customHeight="1">
      <c r="A4124" s="45"/>
      <c r="B4124" s="189"/>
      <c r="C4124" s="189"/>
      <c r="D4124" s="189"/>
      <c r="E4124" s="153"/>
      <c r="F4124" s="1175"/>
      <c r="G4124" s="1209" t="s">
        <v>310</v>
      </c>
      <c r="H4124" s="1209"/>
      <c r="I4124" s="1209"/>
      <c r="J4124" s="1209"/>
      <c r="K4124" s="123">
        <v>1.07</v>
      </c>
      <c r="L4124" s="10"/>
      <c r="M4124" s="1146"/>
      <c r="N4124" s="1103"/>
      <c r="O4124" s="38"/>
      <c r="P4124" s="308"/>
      <c r="Q4124" s="307"/>
      <c r="R4124" s="309"/>
    </row>
    <row r="4125" spans="1:24" ht="30" customHeight="1">
      <c r="A4125" s="45"/>
      <c r="B4125" s="45"/>
      <c r="C4125" s="46"/>
      <c r="D4125" s="46"/>
      <c r="E4125" s="18"/>
      <c r="F4125" s="18"/>
      <c r="G4125" s="18"/>
      <c r="H4125" s="18"/>
      <c r="I4125" s="18"/>
      <c r="J4125" s="20" t="s">
        <v>289</v>
      </c>
      <c r="K4125" s="23">
        <f>+K4122*K4123/K4124</f>
        <v>574620.05607476644</v>
      </c>
      <c r="L4125" s="20" t="s">
        <v>13</v>
      </c>
      <c r="M4125" s="1146"/>
      <c r="N4125" s="1103"/>
      <c r="O4125" s="25"/>
      <c r="P4125" s="308"/>
      <c r="Q4125" s="307"/>
      <c r="R4125" s="309"/>
    </row>
    <row r="4126" spans="1:24" ht="30" customHeight="1" thickBot="1">
      <c r="A4126" s="45"/>
      <c r="B4126" s="45"/>
      <c r="C4126" s="46"/>
      <c r="D4126" s="46"/>
      <c r="E4126" s="18"/>
      <c r="F4126" s="18"/>
      <c r="G4126" s="160" t="s">
        <v>312</v>
      </c>
      <c r="H4126" s="18"/>
      <c r="I4126" s="18"/>
      <c r="J4126" s="139">
        <f>VLOOKUP(B4119,'Mil Cost Premiums for RUCs'!$A$4:$R$266,18,FALSE)</f>
        <v>1.1199953840399997</v>
      </c>
      <c r="K4126" s="23">
        <f>+K4125*J4126</f>
        <v>643571.81038054416</v>
      </c>
      <c r="L4126" s="20" t="s">
        <v>13</v>
      </c>
      <c r="M4126" s="1146"/>
      <c r="N4126" s="1103"/>
      <c r="O4126"/>
      <c r="P4126" s="159"/>
      <c r="Q4126" s="147"/>
      <c r="R4126" s="149"/>
      <c r="T4126" s="38"/>
      <c r="U4126" s="38"/>
      <c r="V4126" s="38"/>
      <c r="W4126" s="38"/>
      <c r="X4126" s="38"/>
    </row>
    <row r="4127" spans="1:24" s="38" customFormat="1" ht="30" customHeight="1" thickBot="1">
      <c r="A4127" s="1165"/>
      <c r="B4127" s="1166"/>
      <c r="C4127" s="1166"/>
      <c r="D4127" s="1166"/>
      <c r="E4127" s="1166"/>
      <c r="F4127" s="1166"/>
      <c r="G4127" s="1166"/>
      <c r="H4127" s="1166"/>
      <c r="I4127" s="1166"/>
      <c r="J4127" s="1166"/>
      <c r="K4127" s="1166"/>
      <c r="L4127" s="1167"/>
      <c r="M4127" s="1146"/>
      <c r="N4127" s="1103"/>
      <c r="O4127"/>
      <c r="P4127" s="159"/>
      <c r="Q4127" s="147"/>
      <c r="R4127" s="149"/>
      <c r="T4127" s="25"/>
      <c r="U4127" s="25"/>
      <c r="V4127" s="25"/>
      <c r="W4127" s="25"/>
      <c r="X4127" s="25"/>
    </row>
    <row r="4128" spans="1:24" s="25" customFormat="1" ht="30" customHeight="1">
      <c r="A4128" s="27" t="s">
        <v>280</v>
      </c>
      <c r="B4128" s="28">
        <v>8612</v>
      </c>
      <c r="C4128" s="1393" t="s">
        <v>2187</v>
      </c>
      <c r="D4128" s="1394"/>
      <c r="E4128" s="30" t="s">
        <v>282</v>
      </c>
      <c r="F4128" s="31" t="s">
        <v>10</v>
      </c>
      <c r="G4128" s="70" t="s">
        <v>281</v>
      </c>
      <c r="H4128" s="71">
        <v>1</v>
      </c>
      <c r="I4128" s="30" t="s">
        <v>283</v>
      </c>
      <c r="J4128" s="1199" t="s">
        <v>2529</v>
      </c>
      <c r="K4128" s="1199"/>
      <c r="L4128" s="1200"/>
      <c r="M4128" s="1146"/>
      <c r="N4128" s="1103"/>
      <c r="O4128"/>
      <c r="P4128" s="229"/>
      <c r="Q4128" s="1103"/>
      <c r="R4128" s="230"/>
      <c r="T4128" s="59"/>
      <c r="U4128" s="59"/>
      <c r="V4128" s="59"/>
      <c r="W4128" s="59"/>
      <c r="X4128" s="59"/>
    </row>
    <row r="4129" spans="1:24" s="59" customFormat="1" ht="30" customHeight="1">
      <c r="A4129" s="37" t="s">
        <v>304</v>
      </c>
      <c r="B4129" s="1300" t="s">
        <v>330</v>
      </c>
      <c r="C4129" s="1301"/>
      <c r="D4129" s="1302"/>
      <c r="E4129" s="150" t="s">
        <v>295</v>
      </c>
      <c r="F4129" s="150" t="s">
        <v>331</v>
      </c>
      <c r="G4129" s="1204" t="s">
        <v>332</v>
      </c>
      <c r="H4129" s="1205"/>
      <c r="I4129" s="77" t="s">
        <v>305</v>
      </c>
      <c r="J4129" s="77"/>
      <c r="K4129" s="1303" t="s">
        <v>297</v>
      </c>
      <c r="L4129" s="1304"/>
      <c r="M4129" s="1146"/>
      <c r="N4129" s="1103"/>
      <c r="O4129" s="34"/>
      <c r="P4129" s="159"/>
      <c r="Q4129" s="147"/>
      <c r="R4129" s="149"/>
    </row>
    <row r="4130" spans="1:24" s="59" customFormat="1" ht="30" customHeight="1">
      <c r="A4130" s="45" t="s">
        <v>2188</v>
      </c>
      <c r="B4130" s="1188" t="s">
        <v>2189</v>
      </c>
      <c r="C4130" s="1189"/>
      <c r="D4130" s="1190"/>
      <c r="E4130" s="335">
        <v>120000</v>
      </c>
      <c r="F4130" s="22" t="s">
        <v>10</v>
      </c>
      <c r="G4130" s="780"/>
      <c r="H4130" s="333"/>
      <c r="I4130" s="326">
        <v>1.1000000000000001</v>
      </c>
      <c r="J4130" s="22"/>
      <c r="K4130" s="23">
        <f>+E4130*I4130</f>
        <v>132000</v>
      </c>
      <c r="L4130" s="22" t="s">
        <v>10</v>
      </c>
      <c r="M4130" s="1146"/>
      <c r="N4130" s="1103"/>
      <c r="O4130" s="34"/>
      <c r="P4130" s="159"/>
      <c r="Q4130" s="147"/>
      <c r="R4130" s="149"/>
    </row>
    <row r="4131" spans="1:24" s="59" customFormat="1" ht="30" customHeight="1">
      <c r="A4131" s="45"/>
      <c r="B4131" s="189"/>
      <c r="C4131" s="189"/>
      <c r="D4131" s="189"/>
      <c r="E4131" s="153"/>
      <c r="F4131" s="1174" t="s">
        <v>308</v>
      </c>
      <c r="G4131" s="1208" t="s">
        <v>309</v>
      </c>
      <c r="H4131" s="1208"/>
      <c r="I4131" s="1208"/>
      <c r="J4131" s="1208"/>
      <c r="K4131" s="123">
        <v>1.06</v>
      </c>
      <c r="L4131" s="10"/>
      <c r="M4131" s="1146"/>
      <c r="N4131" s="1103"/>
      <c r="P4131" s="159"/>
      <c r="Q4131" s="147"/>
      <c r="R4131" s="149"/>
      <c r="T4131"/>
      <c r="U4131"/>
      <c r="V4131"/>
      <c r="W4131"/>
      <c r="X4131"/>
    </row>
    <row r="4132" spans="1:24" ht="30" customHeight="1">
      <c r="A4132" s="45"/>
      <c r="B4132" s="189"/>
      <c r="C4132" s="189"/>
      <c r="D4132" s="189"/>
      <c r="E4132" s="153"/>
      <c r="F4132" s="1175"/>
      <c r="G4132" s="1209" t="s">
        <v>310</v>
      </c>
      <c r="H4132" s="1209"/>
      <c r="I4132" s="1209"/>
      <c r="J4132" s="1209"/>
      <c r="K4132" s="123">
        <v>1.07</v>
      </c>
      <c r="L4132" s="10"/>
      <c r="M4132" s="1146"/>
      <c r="N4132" s="803"/>
      <c r="O4132" s="59"/>
      <c r="P4132" s="283"/>
      <c r="Q4132" s="282"/>
      <c r="R4132" s="284"/>
    </row>
    <row r="4133" spans="1:24" ht="30" customHeight="1">
      <c r="A4133" s="652"/>
      <c r="B4133" s="823"/>
      <c r="C4133" s="824"/>
      <c r="D4133" s="825"/>
      <c r="E4133" s="153"/>
      <c r="F4133" s="22"/>
      <c r="G4133" s="317"/>
      <c r="H4133" s="267"/>
      <c r="I4133" s="20"/>
      <c r="J4133" s="20" t="s">
        <v>289</v>
      </c>
      <c r="K4133" s="23">
        <f>+K4130*K4131/K4132</f>
        <v>130766.3551401869</v>
      </c>
      <c r="L4133" s="20" t="s">
        <v>10</v>
      </c>
      <c r="M4133" s="1146"/>
      <c r="N4133" s="803"/>
      <c r="O4133"/>
      <c r="P4133" s="283"/>
      <c r="Q4133" s="282"/>
      <c r="R4133" s="284"/>
    </row>
    <row r="4134" spans="1:24" ht="30" customHeight="1" thickBot="1">
      <c r="A4134" s="45"/>
      <c r="B4134" s="45"/>
      <c r="C4134" s="46"/>
      <c r="D4134" s="46"/>
      <c r="E4134" s="18"/>
      <c r="F4134" s="18"/>
      <c r="G4134" s="160" t="s">
        <v>312</v>
      </c>
      <c r="H4134" s="18"/>
      <c r="I4134" s="18"/>
      <c r="J4134" s="139">
        <f>VLOOKUP(B4128,'Mil Cost Premiums for RUCs'!$A$4:$R$266,18,FALSE)</f>
        <v>1.0905505199999999</v>
      </c>
      <c r="K4134" s="23">
        <f>+K4133*J4134</f>
        <v>142607.31659663547</v>
      </c>
      <c r="L4134" s="20" t="s">
        <v>10</v>
      </c>
      <c r="M4134" s="1146"/>
      <c r="N4134" s="1103"/>
      <c r="O4134"/>
      <c r="P4134" s="308"/>
      <c r="Q4134" s="307"/>
      <c r="R4134" s="309"/>
    </row>
    <row r="4135" spans="1:24" ht="30" customHeight="1" thickBot="1">
      <c r="A4135" s="1165"/>
      <c r="B4135" s="1166"/>
      <c r="C4135" s="1166"/>
      <c r="D4135" s="1166"/>
      <c r="E4135" s="1166"/>
      <c r="F4135" s="1166"/>
      <c r="G4135" s="1166"/>
      <c r="H4135" s="1166"/>
      <c r="I4135" s="1166"/>
      <c r="J4135" s="1166"/>
      <c r="K4135" s="1166"/>
      <c r="L4135" s="1167"/>
      <c r="M4135" s="1146"/>
      <c r="N4135" s="1103"/>
      <c r="O4135" s="38"/>
      <c r="P4135" s="308"/>
      <c r="Q4135" s="307"/>
      <c r="R4135" s="309"/>
    </row>
    <row r="4136" spans="1:24" ht="30" customHeight="1">
      <c r="A4136" s="27" t="s">
        <v>280</v>
      </c>
      <c r="B4136" s="82">
        <v>8711</v>
      </c>
      <c r="C4136" s="1197" t="s">
        <v>2190</v>
      </c>
      <c r="D4136" s="1198"/>
      <c r="E4136" s="74" t="s">
        <v>282</v>
      </c>
      <c r="F4136" s="75" t="s">
        <v>6</v>
      </c>
      <c r="G4136" s="58" t="s">
        <v>290</v>
      </c>
      <c r="H4136" s="76">
        <v>11714</v>
      </c>
      <c r="I4136" s="74" t="s">
        <v>283</v>
      </c>
      <c r="J4136" s="1199" t="s">
        <v>2529</v>
      </c>
      <c r="K4136" s="1199"/>
      <c r="L4136" s="1200"/>
      <c r="M4136" s="1146"/>
      <c r="N4136" s="1103"/>
      <c r="O4136"/>
      <c r="P4136" s="159"/>
      <c r="Q4136" s="147"/>
      <c r="R4136" s="149"/>
    </row>
    <row r="4137" spans="1:24" ht="30" customHeight="1">
      <c r="A4137" s="37" t="s">
        <v>304</v>
      </c>
      <c r="B4137" s="1201" t="s">
        <v>330</v>
      </c>
      <c r="C4137" s="1202"/>
      <c r="D4137" s="1203"/>
      <c r="E4137" s="150" t="s">
        <v>295</v>
      </c>
      <c r="F4137" s="150" t="s">
        <v>331</v>
      </c>
      <c r="G4137" s="1204" t="s">
        <v>332</v>
      </c>
      <c r="H4137" s="1205"/>
      <c r="I4137" s="77" t="s">
        <v>305</v>
      </c>
      <c r="J4137" s="77"/>
      <c r="K4137" s="1303" t="s">
        <v>297</v>
      </c>
      <c r="L4137" s="1304"/>
      <c r="M4137" s="1146"/>
      <c r="N4137" s="1103"/>
      <c r="O4137" s="34"/>
      <c r="P4137" s="159"/>
      <c r="Q4137" s="147"/>
      <c r="R4137" s="149"/>
      <c r="T4137" s="760"/>
      <c r="U4137" s="760"/>
      <c r="V4137" s="760"/>
      <c r="W4137" s="760"/>
      <c r="X4137" s="760"/>
    </row>
    <row r="4138" spans="1:24" s="760" customFormat="1" ht="30" customHeight="1">
      <c r="A4138" s="45"/>
      <c r="B4138" s="1179" t="s">
        <v>2191</v>
      </c>
      <c r="C4138" s="1180"/>
      <c r="D4138" s="1181"/>
      <c r="E4138" s="331"/>
      <c r="F4138" s="22"/>
      <c r="G4138" s="521"/>
      <c r="H4138" s="333"/>
      <c r="I4138" s="20"/>
      <c r="J4138" s="20"/>
      <c r="K4138" s="349"/>
      <c r="L4138" s="22"/>
      <c r="M4138" s="1146"/>
      <c r="N4138" s="282"/>
      <c r="O4138" s="34"/>
      <c r="P4138" s="159"/>
      <c r="Q4138" s="147"/>
      <c r="R4138" s="149"/>
      <c r="S4138" s="38"/>
      <c r="T4138" s="59"/>
      <c r="U4138" s="59"/>
      <c r="V4138" s="59"/>
      <c r="W4138" s="59"/>
      <c r="X4138" s="59"/>
    </row>
    <row r="4139" spans="1:24" s="59" customFormat="1" ht="30" customHeight="1">
      <c r="A4139" s="45" t="s">
        <v>2192</v>
      </c>
      <c r="B4139" s="1179" t="s">
        <v>2828</v>
      </c>
      <c r="C4139" s="1180"/>
      <c r="D4139" s="1181"/>
      <c r="E4139" s="335">
        <f>+(14.5+17.75)/2</f>
        <v>16.125</v>
      </c>
      <c r="F4139" s="22" t="s">
        <v>6</v>
      </c>
      <c r="G4139" s="521"/>
      <c r="H4139" s="333"/>
      <c r="I4139" s="326">
        <v>1.04</v>
      </c>
      <c r="J4139" s="20"/>
      <c r="K4139" s="349">
        <f>+E4139*I4139</f>
        <v>16.77</v>
      </c>
      <c r="L4139" s="22" t="s">
        <v>6</v>
      </c>
      <c r="M4139" s="1146"/>
      <c r="N4139" s="282"/>
      <c r="O4139"/>
      <c r="P4139" s="159"/>
      <c r="Q4139" s="147"/>
      <c r="R4139" s="149"/>
      <c r="S4139"/>
      <c r="T4139"/>
      <c r="U4139"/>
      <c r="V4139"/>
      <c r="W4139"/>
      <c r="X4139"/>
    </row>
    <row r="4140" spans="1:24" ht="30" customHeight="1">
      <c r="A4140" s="45" t="s">
        <v>2192</v>
      </c>
      <c r="B4140" s="1179" t="s">
        <v>2829</v>
      </c>
      <c r="C4140" s="1180"/>
      <c r="D4140" s="1181"/>
      <c r="E4140" s="335">
        <f>+(16.85+20.3)/2</f>
        <v>18.575000000000003</v>
      </c>
      <c r="F4140" s="22" t="s">
        <v>6</v>
      </c>
      <c r="G4140" s="521"/>
      <c r="H4140" s="333"/>
      <c r="I4140" s="326">
        <v>1.04</v>
      </c>
      <c r="J4140" s="20"/>
      <c r="K4140" s="349">
        <f>+E4140*I4140</f>
        <v>19.318000000000005</v>
      </c>
      <c r="L4140" s="22" t="s">
        <v>6</v>
      </c>
      <c r="M4140" s="1146"/>
      <c r="N4140" s="1103"/>
      <c r="O4140"/>
      <c r="P4140" s="283"/>
      <c r="Q4140" s="282"/>
      <c r="R4140" s="284"/>
    </row>
    <row r="4141" spans="1:24" ht="30" customHeight="1">
      <c r="A4141" s="45"/>
      <c r="B4141" s="207"/>
      <c r="C4141" s="208"/>
      <c r="D4141" s="155"/>
      <c r="E4141" s="335"/>
      <c r="F4141" s="22"/>
      <c r="G4141" s="521"/>
      <c r="H4141" s="333"/>
      <c r="I4141" s="20"/>
      <c r="J4141" s="251" t="s">
        <v>2193</v>
      </c>
      <c r="K4141" s="349">
        <f>AVERAGE(K4139:K4140)</f>
        <v>18.044000000000004</v>
      </c>
      <c r="L4141" s="22" t="s">
        <v>6</v>
      </c>
      <c r="M4141" s="1146"/>
      <c r="N4141" s="1103"/>
      <c r="O4141"/>
      <c r="P4141" s="283"/>
      <c r="Q4141" s="282"/>
      <c r="R4141" s="284"/>
      <c r="T4141" s="59"/>
      <c r="U4141" s="59"/>
      <c r="V4141" s="59"/>
      <c r="W4141" s="59"/>
      <c r="X4141" s="59"/>
    </row>
    <row r="4142" spans="1:24" s="59" customFormat="1" ht="30" customHeight="1">
      <c r="A4142" s="653" t="s">
        <v>342</v>
      </c>
      <c r="B4142" s="1179" t="s">
        <v>2827</v>
      </c>
      <c r="C4142" s="1180"/>
      <c r="D4142" s="1181"/>
      <c r="E4142" s="335">
        <v>6.63</v>
      </c>
      <c r="F4142" s="22" t="s">
        <v>6</v>
      </c>
      <c r="G4142" s="521"/>
      <c r="H4142" s="333"/>
      <c r="I4142" s="20">
        <v>1.05</v>
      </c>
      <c r="J4142" s="20"/>
      <c r="K4142" s="349">
        <f>+E4142*I4142</f>
        <v>6.9615</v>
      </c>
      <c r="L4142" s="22" t="s">
        <v>6</v>
      </c>
      <c r="M4142" s="1146"/>
      <c r="N4142" s="803"/>
      <c r="O4142"/>
      <c r="P4142" s="159"/>
      <c r="Q4142" s="147"/>
      <c r="R4142" s="149"/>
      <c r="S4142"/>
    </row>
    <row r="4143" spans="1:24" s="59" customFormat="1" ht="30" customHeight="1">
      <c r="A4143" s="46"/>
      <c r="B4143" s="1267"/>
      <c r="C4143" s="1267"/>
      <c r="D4143" s="1267"/>
      <c r="E4143" s="153"/>
      <c r="F4143" s="20"/>
      <c r="G4143" s="20"/>
      <c r="H4143" s="20"/>
      <c r="I4143" s="20"/>
      <c r="J4143" s="20" t="s">
        <v>346</v>
      </c>
      <c r="K4143" s="353">
        <f>SUM(K4141:K4142)</f>
        <v>25.005500000000005</v>
      </c>
      <c r="L4143" s="20" t="s">
        <v>6</v>
      </c>
      <c r="M4143" s="1146"/>
      <c r="N4143" s="803"/>
      <c r="O4143"/>
      <c r="P4143" s="159"/>
      <c r="Q4143" s="147"/>
      <c r="R4143" s="149"/>
      <c r="S4143"/>
    </row>
    <row r="4144" spans="1:24" s="59" customFormat="1" ht="30" customHeight="1">
      <c r="A4144" s="45"/>
      <c r="B4144" s="157"/>
      <c r="C4144" s="157"/>
      <c r="D4144" s="157"/>
      <c r="E4144" s="153"/>
      <c r="F4144" s="1174" t="s">
        <v>308</v>
      </c>
      <c r="G4144" s="1208" t="s">
        <v>309</v>
      </c>
      <c r="H4144" s="1208"/>
      <c r="I4144" s="1208"/>
      <c r="J4144" s="1208"/>
      <c r="K4144" s="123">
        <v>1.06</v>
      </c>
      <c r="L4144" s="10"/>
      <c r="M4144" s="1146"/>
      <c r="N4144" s="1103"/>
      <c r="O4144"/>
      <c r="P4144" s="159"/>
      <c r="Q4144" s="147"/>
      <c r="R4144" s="149"/>
      <c r="S4144"/>
    </row>
    <row r="4145" spans="1:24" s="59" customFormat="1" ht="30" customHeight="1">
      <c r="A4145" s="45"/>
      <c r="B4145" s="157"/>
      <c r="C4145" s="157"/>
      <c r="D4145" s="157"/>
      <c r="E4145" s="153"/>
      <c r="F4145" s="1175"/>
      <c r="G4145" s="1209" t="s">
        <v>310</v>
      </c>
      <c r="H4145" s="1209"/>
      <c r="I4145" s="1209"/>
      <c r="J4145" s="1209"/>
      <c r="K4145" s="123">
        <v>1.07</v>
      </c>
      <c r="L4145" s="10"/>
      <c r="M4145" s="1146"/>
      <c r="N4145" s="1103"/>
      <c r="O4145"/>
      <c r="P4145" s="159"/>
      <c r="Q4145" s="147"/>
      <c r="R4145" s="149"/>
      <c r="S4145"/>
    </row>
    <row r="4146" spans="1:24" s="59" customFormat="1" ht="30" customHeight="1">
      <c r="A4146" s="46"/>
      <c r="B4146" s="20"/>
      <c r="C4146" s="18"/>
      <c r="D4146" s="18"/>
      <c r="E4146" s="18"/>
      <c r="F4146" s="18"/>
      <c r="G4146" s="18"/>
      <c r="H4146" s="18"/>
      <c r="I4146" s="18"/>
      <c r="J4146" s="20" t="s">
        <v>289</v>
      </c>
      <c r="K4146" s="23">
        <f>+K4143*K4144/K4145</f>
        <v>24.771803738317761</v>
      </c>
      <c r="L4146" s="20" t="s">
        <v>6</v>
      </c>
      <c r="M4146" s="1146"/>
      <c r="N4146" s="282"/>
      <c r="O4146"/>
      <c r="P4146" s="159"/>
      <c r="Q4146" s="147"/>
      <c r="R4146" s="149"/>
      <c r="S4146"/>
    </row>
    <row r="4147" spans="1:24" s="59" customFormat="1" ht="30" customHeight="1" thickBot="1">
      <c r="A4147" s="45"/>
      <c r="B4147" s="20"/>
      <c r="C4147" s="18"/>
      <c r="D4147" s="18"/>
      <c r="E4147" s="18"/>
      <c r="F4147" s="18"/>
      <c r="G4147" s="160" t="s">
        <v>312</v>
      </c>
      <c r="H4147" s="18"/>
      <c r="I4147" s="18"/>
      <c r="J4147" s="139">
        <f>VLOOKUP(B4136,'Mil Cost Premiums for RUCs'!$A$4:$R$266,18,FALSE)</f>
        <v>1.0905505199999999</v>
      </c>
      <c r="K4147" s="23">
        <f>+K4146*J4147</f>
        <v>27.014903448160375</v>
      </c>
      <c r="L4147" s="20" t="s">
        <v>6</v>
      </c>
      <c r="M4147" s="1146"/>
      <c r="N4147" s="282"/>
      <c r="O4147"/>
      <c r="P4147" s="159"/>
      <c r="Q4147" s="147"/>
      <c r="R4147" s="149"/>
      <c r="S4147"/>
    </row>
    <row r="4148" spans="1:24" s="59" customFormat="1" ht="30" customHeight="1" thickBot="1">
      <c r="A4148" s="1165"/>
      <c r="B4148" s="1166"/>
      <c r="C4148" s="1166"/>
      <c r="D4148" s="1166"/>
      <c r="E4148" s="1166"/>
      <c r="F4148" s="1166"/>
      <c r="G4148" s="1166"/>
      <c r="H4148" s="1166"/>
      <c r="I4148" s="1166"/>
      <c r="J4148" s="1166"/>
      <c r="K4148" s="1166"/>
      <c r="L4148" s="1167"/>
      <c r="M4148" s="1146"/>
      <c r="N4148" s="1103"/>
      <c r="O4148"/>
      <c r="P4148" s="159"/>
      <c r="Q4148" s="147"/>
      <c r="R4148" s="149"/>
      <c r="S4148"/>
    </row>
    <row r="4149" spans="1:24" s="59" customFormat="1" ht="30" customHeight="1">
      <c r="A4149" s="27" t="s">
        <v>280</v>
      </c>
      <c r="B4149" s="28">
        <v>8712</v>
      </c>
      <c r="C4149" s="1393" t="s">
        <v>2194</v>
      </c>
      <c r="D4149" s="1394"/>
      <c r="E4149" s="74" t="s">
        <v>282</v>
      </c>
      <c r="F4149" s="75" t="s">
        <v>6</v>
      </c>
      <c r="G4149" s="58" t="s">
        <v>290</v>
      </c>
      <c r="H4149" s="701">
        <v>972</v>
      </c>
      <c r="I4149" s="74" t="s">
        <v>283</v>
      </c>
      <c r="J4149" s="1199" t="s">
        <v>2529</v>
      </c>
      <c r="K4149" s="1199"/>
      <c r="L4149" s="1200"/>
      <c r="M4149" s="1146"/>
      <c r="N4149" s="1103"/>
      <c r="O4149"/>
      <c r="P4149" s="159"/>
      <c r="Q4149" s="147"/>
      <c r="R4149" s="149"/>
      <c r="S4149"/>
    </row>
    <row r="4150" spans="1:24" s="59" customFormat="1" ht="30" customHeight="1">
      <c r="A4150" s="37" t="s">
        <v>304</v>
      </c>
      <c r="B4150" s="1300" t="s">
        <v>330</v>
      </c>
      <c r="C4150" s="1301"/>
      <c r="D4150" s="1302"/>
      <c r="E4150" s="150" t="s">
        <v>295</v>
      </c>
      <c r="F4150" s="150" t="s">
        <v>331</v>
      </c>
      <c r="G4150" s="1204" t="s">
        <v>332</v>
      </c>
      <c r="H4150" s="1205"/>
      <c r="I4150" s="77" t="s">
        <v>305</v>
      </c>
      <c r="J4150" s="77"/>
      <c r="K4150" s="1303" t="s">
        <v>297</v>
      </c>
      <c r="L4150" s="1304"/>
      <c r="M4150" s="1146"/>
      <c r="N4150" s="1103"/>
      <c r="P4150" s="159"/>
      <c r="Q4150" s="147"/>
      <c r="R4150" s="149"/>
      <c r="S4150"/>
    </row>
    <row r="4151" spans="1:24" s="59" customFormat="1" ht="30" customHeight="1">
      <c r="A4151" s="45" t="s">
        <v>480</v>
      </c>
      <c r="B4151" s="1188" t="s">
        <v>2831</v>
      </c>
      <c r="C4151" s="1189"/>
      <c r="D4151" s="1190"/>
      <c r="E4151" s="335">
        <v>14.2</v>
      </c>
      <c r="F4151" s="22" t="s">
        <v>8</v>
      </c>
      <c r="G4151" s="780">
        <v>8</v>
      </c>
      <c r="H4151" s="333" t="s">
        <v>2128</v>
      </c>
      <c r="I4151" s="20">
        <v>1.07</v>
      </c>
      <c r="J4151" s="22"/>
      <c r="K4151" s="23">
        <f>+E4151*G4151*I4151</f>
        <v>121.55200000000001</v>
      </c>
      <c r="L4151" s="22" t="s">
        <v>6</v>
      </c>
      <c r="M4151" s="1146"/>
      <c r="N4151" s="1103"/>
      <c r="P4151" s="159"/>
      <c r="Q4151" s="147"/>
      <c r="R4151" s="149"/>
      <c r="S4151"/>
    </row>
    <row r="4152" spans="1:24" s="59" customFormat="1" ht="30" customHeight="1">
      <c r="A4152" s="652"/>
      <c r="B4152" s="1179" t="s">
        <v>2195</v>
      </c>
      <c r="C4152" s="1180"/>
      <c r="D4152" s="1181"/>
      <c r="E4152" s="153"/>
      <c r="F4152" s="22"/>
      <c r="G4152" s="317"/>
      <c r="H4152" s="267"/>
      <c r="I4152" s="20"/>
      <c r="J4152" s="20"/>
      <c r="K4152" s="153">
        <f>+K4151*2</f>
        <v>243.10400000000001</v>
      </c>
      <c r="L4152" s="20" t="s">
        <v>6</v>
      </c>
      <c r="M4152" s="1146"/>
      <c r="N4152" s="1103"/>
      <c r="O4152"/>
      <c r="P4152" s="159"/>
      <c r="Q4152" s="147"/>
      <c r="R4152" s="149"/>
      <c r="S4152"/>
      <c r="T4152"/>
      <c r="U4152"/>
      <c r="V4152"/>
      <c r="W4152"/>
      <c r="X4152"/>
    </row>
    <row r="4153" spans="1:24" ht="30" customHeight="1">
      <c r="A4153" s="652"/>
      <c r="B4153" s="1383" t="s">
        <v>2830</v>
      </c>
      <c r="C4153" s="1384"/>
      <c r="D4153" s="1385"/>
      <c r="E4153" s="153"/>
      <c r="F4153" s="20"/>
      <c r="G4153" s="20"/>
      <c r="H4153" s="20"/>
      <c r="I4153" s="20"/>
      <c r="J4153" s="20"/>
      <c r="K4153" s="153"/>
      <c r="L4153" s="20"/>
      <c r="M4153" s="1146"/>
      <c r="N4153" s="1103"/>
      <c r="O4153" s="38"/>
      <c r="P4153" s="308"/>
      <c r="Q4153" s="307"/>
      <c r="R4153" s="309"/>
      <c r="S4153" s="59"/>
    </row>
    <row r="4154" spans="1:24" ht="30" customHeight="1">
      <c r="A4154" s="45"/>
      <c r="B4154" s="189"/>
      <c r="C4154" s="189"/>
      <c r="D4154" s="189"/>
      <c r="E4154" s="153"/>
      <c r="F4154" s="1174" t="s">
        <v>308</v>
      </c>
      <c r="G4154" s="1208" t="s">
        <v>309</v>
      </c>
      <c r="H4154" s="1208"/>
      <c r="I4154" s="1208"/>
      <c r="J4154" s="1208"/>
      <c r="K4154" s="123">
        <v>1.06</v>
      </c>
      <c r="L4154" s="10"/>
      <c r="M4154" s="1146"/>
      <c r="N4154" s="1103"/>
      <c r="O4154"/>
      <c r="P4154" s="308"/>
      <c r="Q4154" s="307"/>
      <c r="R4154" s="309"/>
    </row>
    <row r="4155" spans="1:24" ht="30" customHeight="1">
      <c r="A4155" s="45"/>
      <c r="B4155" s="189"/>
      <c r="C4155" s="189"/>
      <c r="D4155" s="189"/>
      <c r="E4155" s="153"/>
      <c r="F4155" s="1175"/>
      <c r="G4155" s="1209" t="s">
        <v>310</v>
      </c>
      <c r="H4155" s="1209"/>
      <c r="I4155" s="1209"/>
      <c r="J4155" s="1209"/>
      <c r="K4155" s="123">
        <v>1.07</v>
      </c>
      <c r="L4155" s="10"/>
      <c r="M4155" s="1146"/>
      <c r="N4155" s="1103"/>
      <c r="O4155" s="34"/>
      <c r="P4155" s="159"/>
      <c r="Q4155" s="147"/>
      <c r="R4155" s="149"/>
      <c r="T4155" s="760"/>
      <c r="U4155" s="760"/>
      <c r="V4155" s="760"/>
      <c r="W4155" s="760"/>
      <c r="X4155" s="760"/>
    </row>
    <row r="4156" spans="1:24" s="760" customFormat="1" ht="30" customHeight="1">
      <c r="A4156" s="45"/>
      <c r="B4156" s="45"/>
      <c r="C4156" s="46"/>
      <c r="D4156" s="46"/>
      <c r="E4156" s="18"/>
      <c r="F4156" s="18"/>
      <c r="G4156" s="18"/>
      <c r="H4156" s="18"/>
      <c r="I4156" s="18"/>
      <c r="J4156" s="18" t="s">
        <v>289</v>
      </c>
      <c r="K4156" s="23">
        <f>+K4152*K4154/K4155</f>
        <v>240.83199999999999</v>
      </c>
      <c r="L4156" s="20" t="s">
        <v>6</v>
      </c>
      <c r="M4156" s="1146"/>
      <c r="N4156" s="1103"/>
      <c r="O4156" s="34"/>
      <c r="P4156" s="159"/>
      <c r="Q4156" s="147"/>
      <c r="R4156" s="149"/>
      <c r="S4156" s="38"/>
      <c r="T4156" s="59"/>
      <c r="U4156" s="59"/>
      <c r="V4156" s="59"/>
      <c r="W4156" s="59"/>
      <c r="X4156" s="59"/>
    </row>
    <row r="4157" spans="1:24" s="59" customFormat="1" ht="30" customHeight="1" thickBot="1">
      <c r="A4157" s="45"/>
      <c r="B4157" s="45"/>
      <c r="C4157" s="46"/>
      <c r="D4157" s="46"/>
      <c r="E4157" s="18"/>
      <c r="F4157" s="18"/>
      <c r="G4157" s="160" t="s">
        <v>312</v>
      </c>
      <c r="H4157" s="18"/>
      <c r="I4157" s="18"/>
      <c r="J4157" s="139">
        <f>VLOOKUP(B4149,'Mil Cost Premiums for RUCs'!$A$4:$R$266,18,FALSE)</f>
        <v>1.0209999999999999</v>
      </c>
      <c r="K4157" s="23">
        <f>+K4156*J4157</f>
        <v>245.88947199999998</v>
      </c>
      <c r="L4157" s="20" t="s">
        <v>6</v>
      </c>
      <c r="M4157" s="1146"/>
      <c r="N4157" s="1103"/>
      <c r="O4157"/>
      <c r="P4157" s="159"/>
      <c r="Q4157" s="147"/>
      <c r="R4157" s="149"/>
      <c r="S4157"/>
      <c r="T4157"/>
      <c r="U4157"/>
      <c r="V4157"/>
      <c r="W4157"/>
      <c r="X4157"/>
    </row>
    <row r="4158" spans="1:24" ht="30" customHeight="1" thickBot="1">
      <c r="A4158" s="1165"/>
      <c r="B4158" s="1166"/>
      <c r="C4158" s="1166"/>
      <c r="D4158" s="1166"/>
      <c r="E4158" s="1166"/>
      <c r="F4158" s="1166"/>
      <c r="G4158" s="1166"/>
      <c r="H4158" s="1166"/>
      <c r="I4158" s="1166"/>
      <c r="J4158" s="1166"/>
      <c r="K4158" s="1166"/>
      <c r="L4158" s="1167"/>
      <c r="M4158" s="1146"/>
      <c r="N4158" s="1103"/>
      <c r="O4158"/>
      <c r="P4158" s="283"/>
      <c r="Q4158" s="282"/>
      <c r="R4158" s="284"/>
    </row>
    <row r="4159" spans="1:24" s="59" customFormat="1" ht="30" customHeight="1">
      <c r="A4159" s="27" t="s">
        <v>280</v>
      </c>
      <c r="B4159" s="28">
        <v>8714</v>
      </c>
      <c r="C4159" s="1393" t="s">
        <v>2196</v>
      </c>
      <c r="D4159" s="1394"/>
      <c r="E4159" s="30" t="s">
        <v>282</v>
      </c>
      <c r="F4159" s="31" t="s">
        <v>6</v>
      </c>
      <c r="G4159" s="58" t="s">
        <v>290</v>
      </c>
      <c r="H4159" s="701">
        <v>1466</v>
      </c>
      <c r="I4159" s="74" t="s">
        <v>283</v>
      </c>
      <c r="J4159" s="1199" t="s">
        <v>2529</v>
      </c>
      <c r="K4159" s="1199"/>
      <c r="L4159" s="1200"/>
      <c r="M4159" s="1146"/>
      <c r="N4159" s="1103"/>
      <c r="O4159" s="34"/>
      <c r="P4159" s="159"/>
      <c r="Q4159" s="147"/>
      <c r="R4159" s="149"/>
    </row>
    <row r="4160" spans="1:24" s="59" customFormat="1" ht="30" customHeight="1">
      <c r="A4160" s="37" t="s">
        <v>304</v>
      </c>
      <c r="B4160" s="1300" t="s">
        <v>330</v>
      </c>
      <c r="C4160" s="1301"/>
      <c r="D4160" s="1302"/>
      <c r="E4160" s="362" t="s">
        <v>295</v>
      </c>
      <c r="F4160" s="362" t="s">
        <v>331</v>
      </c>
      <c r="G4160" s="1204" t="s">
        <v>332</v>
      </c>
      <c r="H4160" s="1205"/>
      <c r="I4160" s="77" t="s">
        <v>305</v>
      </c>
      <c r="J4160" s="35"/>
      <c r="K4160" s="1303" t="s">
        <v>297</v>
      </c>
      <c r="L4160" s="1304"/>
      <c r="M4160" s="1146"/>
      <c r="N4160" s="1103"/>
      <c r="O4160"/>
      <c r="P4160" s="159"/>
      <c r="Q4160" s="147"/>
      <c r="R4160" s="149"/>
      <c r="T4160"/>
      <c r="U4160"/>
      <c r="V4160"/>
      <c r="W4160"/>
      <c r="X4160"/>
    </row>
    <row r="4161" spans="1:24" ht="30" customHeight="1">
      <c r="A4161" s="45" t="s">
        <v>482</v>
      </c>
      <c r="B4161" s="1188" t="s">
        <v>2197</v>
      </c>
      <c r="C4161" s="1189"/>
      <c r="D4161" s="1190"/>
      <c r="E4161" s="335">
        <f>+(4.89+6.86)/2</f>
        <v>5.875</v>
      </c>
      <c r="F4161" s="68" t="s">
        <v>285</v>
      </c>
      <c r="G4161" s="521">
        <v>2.37</v>
      </c>
      <c r="H4161" s="756" t="s">
        <v>2198</v>
      </c>
      <c r="I4161" s="20">
        <v>1.07</v>
      </c>
      <c r="J4161" s="68"/>
      <c r="K4161" s="21">
        <f t="shared" ref="K4161:K4166" si="63">+E4161*G4161*I4161</f>
        <v>14.898412500000001</v>
      </c>
      <c r="L4161" s="68" t="s">
        <v>6</v>
      </c>
      <c r="M4161" s="1146"/>
      <c r="N4161" s="1103"/>
      <c r="O4161" s="59"/>
      <c r="P4161" s="283"/>
      <c r="Q4161" s="282"/>
      <c r="R4161" s="284"/>
    </row>
    <row r="4162" spans="1:24" ht="30" customHeight="1">
      <c r="A4162" s="45" t="s">
        <v>482</v>
      </c>
      <c r="B4162" s="1188" t="s">
        <v>2199</v>
      </c>
      <c r="C4162" s="1189"/>
      <c r="D4162" s="1190"/>
      <c r="E4162" s="335">
        <v>22.1</v>
      </c>
      <c r="F4162" s="68" t="s">
        <v>285</v>
      </c>
      <c r="G4162" s="828">
        <v>7.33</v>
      </c>
      <c r="H4162" s="756" t="s">
        <v>2198</v>
      </c>
      <c r="I4162" s="20">
        <v>1.07</v>
      </c>
      <c r="J4162" s="68"/>
      <c r="K4162" s="21">
        <f t="shared" si="63"/>
        <v>173.33251000000004</v>
      </c>
      <c r="L4162" s="68" t="s">
        <v>6</v>
      </c>
      <c r="M4162" s="1146"/>
      <c r="N4162" s="1103"/>
      <c r="O4162" s="59"/>
      <c r="P4162" s="283"/>
      <c r="Q4162" s="282"/>
      <c r="R4162" s="284"/>
    </row>
    <row r="4163" spans="1:24" ht="30" customHeight="1">
      <c r="A4163" s="45" t="s">
        <v>482</v>
      </c>
      <c r="B4163" s="1383" t="s">
        <v>2200</v>
      </c>
      <c r="C4163" s="1384"/>
      <c r="D4163" s="1385"/>
      <c r="E4163" s="153">
        <f>+(9.94+17.05)/2</f>
        <v>13.495000000000001</v>
      </c>
      <c r="F4163" s="68" t="s">
        <v>3</v>
      </c>
      <c r="G4163" s="363">
        <v>1.67</v>
      </c>
      <c r="H4163" s="757" t="s">
        <v>544</v>
      </c>
      <c r="I4163" s="20">
        <v>1.07</v>
      </c>
      <c r="J4163" s="68"/>
      <c r="K4163" s="21">
        <f t="shared" si="63"/>
        <v>24.114215500000004</v>
      </c>
      <c r="L4163" s="45" t="s">
        <v>6</v>
      </c>
      <c r="M4163" s="1146"/>
      <c r="N4163" s="803"/>
      <c r="O4163"/>
      <c r="P4163" s="159"/>
      <c r="Q4163" s="147"/>
      <c r="R4163" s="149"/>
    </row>
    <row r="4164" spans="1:24" ht="30" customHeight="1">
      <c r="A4164" s="45" t="s">
        <v>482</v>
      </c>
      <c r="B4164" s="1383" t="s">
        <v>2201</v>
      </c>
      <c r="C4164" s="1384"/>
      <c r="D4164" s="1385"/>
      <c r="E4164" s="153">
        <f>+(79+112)/2</f>
        <v>95.5</v>
      </c>
      <c r="F4164" s="68" t="s">
        <v>3</v>
      </c>
      <c r="G4164" s="363">
        <v>1.67</v>
      </c>
      <c r="H4164" s="757" t="s">
        <v>544</v>
      </c>
      <c r="I4164" s="20">
        <v>1.07</v>
      </c>
      <c r="J4164" s="68"/>
      <c r="K4164" s="21">
        <f t="shared" si="63"/>
        <v>170.64894999999999</v>
      </c>
      <c r="L4164" s="68" t="s">
        <v>6</v>
      </c>
      <c r="M4164" s="1146"/>
      <c r="N4164" s="803"/>
      <c r="O4164" s="38"/>
      <c r="P4164" s="308"/>
      <c r="Q4164" s="307"/>
      <c r="R4164" s="309"/>
    </row>
    <row r="4165" spans="1:24" ht="30" customHeight="1">
      <c r="A4165" s="45" t="s">
        <v>482</v>
      </c>
      <c r="B4165" s="1383" t="s">
        <v>2202</v>
      </c>
      <c r="C4165" s="1384"/>
      <c r="D4165" s="1385"/>
      <c r="E4165" s="153">
        <v>247</v>
      </c>
      <c r="F4165" s="68" t="s">
        <v>3</v>
      </c>
      <c r="G4165" s="363">
        <v>1.67</v>
      </c>
      <c r="H4165" s="757" t="s">
        <v>544</v>
      </c>
      <c r="I4165" s="20">
        <v>1.07</v>
      </c>
      <c r="J4165" s="68"/>
      <c r="K4165" s="21">
        <f t="shared" si="63"/>
        <v>441.36430000000001</v>
      </c>
      <c r="L4165" s="68" t="s">
        <v>6</v>
      </c>
      <c r="M4165" s="1146"/>
      <c r="N4165" s="1103"/>
      <c r="O4165"/>
      <c r="P4165" s="308"/>
      <c r="Q4165" s="307"/>
      <c r="R4165" s="309"/>
    </row>
    <row r="4166" spans="1:24" ht="30" customHeight="1">
      <c r="A4166" s="45" t="s">
        <v>590</v>
      </c>
      <c r="B4166" s="1383" t="s">
        <v>2203</v>
      </c>
      <c r="C4166" s="1384"/>
      <c r="D4166" s="1385"/>
      <c r="E4166" s="153">
        <v>0.16</v>
      </c>
      <c r="F4166" s="68" t="s">
        <v>8</v>
      </c>
      <c r="G4166" s="365">
        <v>25</v>
      </c>
      <c r="H4166" s="757" t="s">
        <v>2128</v>
      </c>
      <c r="I4166" s="20">
        <v>1.05</v>
      </c>
      <c r="J4166" s="68"/>
      <c r="K4166" s="21">
        <f t="shared" si="63"/>
        <v>4.2</v>
      </c>
      <c r="L4166" s="68" t="s">
        <v>6</v>
      </c>
      <c r="M4166" s="1146"/>
      <c r="N4166" s="1103"/>
      <c r="O4166"/>
      <c r="P4166" s="159"/>
      <c r="Q4166" s="147"/>
      <c r="R4166" s="149"/>
      <c r="T4166" s="38"/>
      <c r="U4166" s="38"/>
      <c r="V4166" s="38"/>
      <c r="W4166" s="38"/>
      <c r="X4166" s="38"/>
    </row>
    <row r="4167" spans="1:24" s="38" customFormat="1" ht="30" customHeight="1">
      <c r="A4167" s="652"/>
      <c r="B4167" s="1188" t="s">
        <v>2832</v>
      </c>
      <c r="C4167" s="1189"/>
      <c r="D4167" s="1190"/>
      <c r="E4167" s="213"/>
      <c r="F4167" s="45"/>
      <c r="G4167" s="648"/>
      <c r="H4167" s="45"/>
      <c r="I4167" s="45"/>
      <c r="J4167" s="45" t="s">
        <v>346</v>
      </c>
      <c r="K4167" s="213">
        <f>SUM(K4161:K4166)</f>
        <v>828.55838800000015</v>
      </c>
      <c r="L4167" s="68" t="s">
        <v>6</v>
      </c>
      <c r="M4167" s="1146"/>
      <c r="N4167" s="282"/>
      <c r="O4167"/>
      <c r="P4167" s="159"/>
      <c r="Q4167" s="147"/>
      <c r="R4167" s="149"/>
      <c r="T4167"/>
      <c r="U4167"/>
      <c r="V4167"/>
      <c r="W4167"/>
      <c r="X4167"/>
    </row>
    <row r="4168" spans="1:24" ht="30" customHeight="1">
      <c r="A4168" s="45"/>
      <c r="B4168" s="189" t="s">
        <v>2204</v>
      </c>
      <c r="C4168" s="189"/>
      <c r="D4168" s="189"/>
      <c r="E4168" s="213"/>
      <c r="F4168" s="1367" t="s">
        <v>308</v>
      </c>
      <c r="G4168" s="1208" t="s">
        <v>309</v>
      </c>
      <c r="H4168" s="1208"/>
      <c r="I4168" s="1208"/>
      <c r="J4168" s="1208"/>
      <c r="K4168" s="123">
        <v>1.06</v>
      </c>
      <c r="L4168" s="24"/>
      <c r="M4168" s="1146"/>
      <c r="N4168" s="282"/>
      <c r="O4168" s="34"/>
      <c r="P4168" s="159"/>
      <c r="Q4168" s="147"/>
      <c r="R4168" s="149"/>
    </row>
    <row r="4169" spans="1:24" ht="30" customHeight="1">
      <c r="A4169" s="45"/>
      <c r="B4169" s="189"/>
      <c r="C4169" s="189"/>
      <c r="D4169" s="189"/>
      <c r="E4169" s="213"/>
      <c r="F4169" s="1368"/>
      <c r="G4169" s="1209" t="s">
        <v>310</v>
      </c>
      <c r="H4169" s="1209"/>
      <c r="I4169" s="1209"/>
      <c r="J4169" s="1209"/>
      <c r="K4169" s="123">
        <v>1.07</v>
      </c>
      <c r="L4169" s="24"/>
      <c r="M4169" s="1146"/>
      <c r="N4169" s="1103"/>
      <c r="O4169" s="34"/>
      <c r="P4169" s="159"/>
      <c r="Q4169" s="147"/>
      <c r="R4169" s="149"/>
      <c r="S4169" s="59"/>
    </row>
    <row r="4170" spans="1:24" ht="30" customHeight="1">
      <c r="A4170" s="45"/>
      <c r="B4170" s="45"/>
      <c r="C4170" s="46"/>
      <c r="D4170" s="46"/>
      <c r="E4170" s="46"/>
      <c r="F4170" s="46"/>
      <c r="G4170" s="206"/>
      <c r="H4170" s="18"/>
      <c r="I4170" s="18"/>
      <c r="J4170" s="20" t="s">
        <v>289</v>
      </c>
      <c r="K4170" s="23">
        <f>+K4167*K4168/K4169</f>
        <v>820.81485166355151</v>
      </c>
      <c r="L4170" s="45" t="s">
        <v>6</v>
      </c>
      <c r="M4170" s="1146"/>
      <c r="N4170" s="1103"/>
      <c r="O4170" s="59"/>
      <c r="P4170" s="159"/>
      <c r="Q4170" s="147"/>
      <c r="R4170" s="149"/>
      <c r="S4170" s="59"/>
    </row>
    <row r="4171" spans="1:24" ht="30" customHeight="1" thickBot="1">
      <c r="A4171" s="45"/>
      <c r="B4171" s="45"/>
      <c r="C4171" s="46"/>
      <c r="D4171" s="46"/>
      <c r="E4171" s="46"/>
      <c r="F4171" s="46"/>
      <c r="G4171" s="160" t="s">
        <v>312</v>
      </c>
      <c r="H4171" s="18"/>
      <c r="I4171" s="18"/>
      <c r="J4171" s="139">
        <f>VLOOKUP(B4159,'Mil Cost Premiums for RUCs'!$A$4:$R$266,18,FALSE)</f>
        <v>1.0209999999999999</v>
      </c>
      <c r="K4171" s="23">
        <f>+K4170*J4171</f>
        <v>838.05196354848601</v>
      </c>
      <c r="L4171" s="45" t="s">
        <v>6</v>
      </c>
      <c r="M4171" s="1146"/>
      <c r="N4171" s="1103"/>
      <c r="O4171" s="743"/>
      <c r="P4171" s="283"/>
      <c r="Q4171" s="282"/>
      <c r="R4171" s="284"/>
    </row>
    <row r="4172" spans="1:24" ht="30" customHeight="1" thickBot="1">
      <c r="A4172" s="1165"/>
      <c r="B4172" s="1166"/>
      <c r="C4172" s="1166"/>
      <c r="D4172" s="1166"/>
      <c r="E4172" s="1166"/>
      <c r="F4172" s="1166"/>
      <c r="G4172" s="1166"/>
      <c r="H4172" s="1166"/>
      <c r="I4172" s="1166"/>
      <c r="J4172" s="1166"/>
      <c r="K4172" s="1166"/>
      <c r="L4172" s="1167"/>
      <c r="M4172" s="1146"/>
      <c r="N4172" s="803"/>
      <c r="P4172" s="283"/>
      <c r="Q4172" s="282"/>
      <c r="R4172" s="284"/>
    </row>
    <row r="4173" spans="1:24" ht="30" customHeight="1">
      <c r="A4173" s="81" t="s">
        <v>280</v>
      </c>
      <c r="B4173" s="82">
        <v>8715</v>
      </c>
      <c r="C4173" s="1197" t="s">
        <v>2205</v>
      </c>
      <c r="D4173" s="1198"/>
      <c r="E4173" s="74" t="s">
        <v>282</v>
      </c>
      <c r="F4173" s="75" t="s">
        <v>245</v>
      </c>
      <c r="G4173" s="58" t="s">
        <v>290</v>
      </c>
      <c r="H4173" s="829">
        <v>15</v>
      </c>
      <c r="I4173" s="74" t="s">
        <v>283</v>
      </c>
      <c r="J4173" s="1724" t="s">
        <v>2569</v>
      </c>
      <c r="K4173" s="1725"/>
      <c r="L4173" s="1726"/>
      <c r="M4173" s="1146"/>
      <c r="N4173" s="803"/>
      <c r="P4173" s="308"/>
      <c r="Q4173" s="307"/>
      <c r="R4173" s="309"/>
      <c r="S4173" s="59"/>
      <c r="T4173" s="44"/>
      <c r="U4173" s="34"/>
    </row>
    <row r="4174" spans="1:24" ht="30" customHeight="1">
      <c r="A4174" s="77" t="s">
        <v>293</v>
      </c>
      <c r="B4174" s="1201" t="s">
        <v>330</v>
      </c>
      <c r="C4174" s="1202"/>
      <c r="D4174" s="1203"/>
      <c r="E4174" s="150" t="s">
        <v>295</v>
      </c>
      <c r="F4174" s="150" t="s">
        <v>331</v>
      </c>
      <c r="G4174" s="1204" t="s">
        <v>332</v>
      </c>
      <c r="H4174" s="1205"/>
      <c r="I4174" s="1233" t="s">
        <v>426</v>
      </c>
      <c r="J4174" s="1234"/>
      <c r="K4174" s="1303" t="s">
        <v>297</v>
      </c>
      <c r="L4174" s="1304"/>
      <c r="M4174" s="1146"/>
      <c r="N4174" s="1103"/>
      <c r="P4174" s="441"/>
      <c r="Q4174" s="441"/>
      <c r="R4174" s="441"/>
      <c r="S4174" s="44"/>
      <c r="T4174" s="44"/>
      <c r="U4174" s="34"/>
    </row>
    <row r="4175" spans="1:24" ht="30" customHeight="1">
      <c r="A4175" s="651">
        <v>83210</v>
      </c>
      <c r="B4175" s="1176" t="s">
        <v>2833</v>
      </c>
      <c r="C4175" s="1177"/>
      <c r="D4175" s="1178"/>
      <c r="E4175" s="335">
        <v>24370</v>
      </c>
      <c r="F4175" s="22" t="s">
        <v>10</v>
      </c>
      <c r="G4175" s="521">
        <v>0.20399999999999999</v>
      </c>
      <c r="H4175" s="333" t="s">
        <v>2206</v>
      </c>
      <c r="I4175" s="1397">
        <f>+'2019 MILCON Inflation Table'!$F$18</f>
        <v>0.94232233454704462</v>
      </c>
      <c r="J4175" s="1398"/>
      <c r="K4175" s="349">
        <f>+E4175/G4175*I4175</f>
        <v>112570.56516133077</v>
      </c>
      <c r="L4175" s="22" t="s">
        <v>245</v>
      </c>
      <c r="M4175" s="1146"/>
      <c r="N4175" s="1103"/>
      <c r="P4175" s="34"/>
      <c r="Q4175" s="34"/>
      <c r="R4175" s="34"/>
      <c r="S4175" s="44"/>
      <c r="T4175" s="44"/>
      <c r="U4175" s="441"/>
      <c r="V4175" s="59"/>
      <c r="W4175" s="59"/>
      <c r="X4175" s="59"/>
    </row>
    <row r="4176" spans="1:24" s="59" customFormat="1" ht="30" customHeight="1">
      <c r="A4176" s="651">
        <v>83210</v>
      </c>
      <c r="B4176" s="1176" t="s">
        <v>2834</v>
      </c>
      <c r="C4176" s="1177"/>
      <c r="D4176" s="1178"/>
      <c r="E4176" s="335">
        <v>48770</v>
      </c>
      <c r="F4176" s="22" t="s">
        <v>10</v>
      </c>
      <c r="G4176" s="521">
        <v>0.40699999999999997</v>
      </c>
      <c r="H4176" s="333" t="s">
        <v>2206</v>
      </c>
      <c r="I4176" s="1397">
        <f>+'2019 MILCON Inflation Table'!$F$18</f>
        <v>0.94232233454704462</v>
      </c>
      <c r="J4176" s="1398"/>
      <c r="K4176" s="349">
        <f>+E4176/G4176*I4176</f>
        <v>112916.60996525643</v>
      </c>
      <c r="L4176" s="22" t="s">
        <v>245</v>
      </c>
      <c r="M4176" s="1146"/>
      <c r="N4176" s="1103"/>
      <c r="O4176" s="1119"/>
      <c r="P4176" s="34"/>
      <c r="Q4176" s="34"/>
      <c r="R4176" s="34"/>
      <c r="S4176" s="44"/>
      <c r="T4176" s="38"/>
      <c r="U4176" s="39"/>
      <c r="V4176" s="38"/>
      <c r="W4176" s="38"/>
      <c r="X4176" s="38"/>
    </row>
    <row r="4177" spans="1:24" s="38" customFormat="1" ht="30" customHeight="1">
      <c r="A4177" s="651">
        <v>83210</v>
      </c>
      <c r="B4177" s="1176" t="s">
        <v>2835</v>
      </c>
      <c r="C4177" s="1177"/>
      <c r="D4177" s="1178"/>
      <c r="E4177" s="335">
        <v>73350</v>
      </c>
      <c r="F4177" s="22" t="s">
        <v>10</v>
      </c>
      <c r="G4177" s="521">
        <v>0.61099999999999999</v>
      </c>
      <c r="H4177" s="333" t="s">
        <v>2206</v>
      </c>
      <c r="I4177" s="1397">
        <f>+'2019 MILCON Inflation Table'!$F$18</f>
        <v>0.94232233454704462</v>
      </c>
      <c r="J4177" s="1398"/>
      <c r="K4177" s="349">
        <f>+E4177/G4177*I4177</f>
        <v>113124.94801804538</v>
      </c>
      <c r="L4177" s="22" t="s">
        <v>245</v>
      </c>
      <c r="M4177" s="1146"/>
      <c r="N4177" s="282"/>
      <c r="O4177" s="1119"/>
      <c r="T4177"/>
      <c r="U4177" s="34"/>
      <c r="V4177"/>
      <c r="W4177"/>
      <c r="X4177"/>
    </row>
    <row r="4178" spans="1:24" ht="30" customHeight="1">
      <c r="A4178" s="651">
        <v>83210</v>
      </c>
      <c r="B4178" s="1176" t="s">
        <v>2836</v>
      </c>
      <c r="C4178" s="1177"/>
      <c r="D4178" s="1178"/>
      <c r="E4178" s="335">
        <v>97620</v>
      </c>
      <c r="F4178" s="22" t="s">
        <v>10</v>
      </c>
      <c r="G4178" s="456">
        <v>0.81399999999999995</v>
      </c>
      <c r="H4178" s="333" t="s">
        <v>2206</v>
      </c>
      <c r="I4178" s="1397">
        <f>+'2019 MILCON Inflation Table'!$F$18</f>
        <v>0.94232233454704462</v>
      </c>
      <c r="J4178" s="1398"/>
      <c r="K4178" s="349">
        <f>+E4178/G4178*I4178</f>
        <v>113009.22149690725</v>
      </c>
      <c r="L4178" s="22" t="s">
        <v>245</v>
      </c>
      <c r="M4178" s="1146"/>
      <c r="N4178" s="282"/>
      <c r="U4178" s="34"/>
    </row>
    <row r="4179" spans="1:24" ht="30" customHeight="1">
      <c r="A4179" s="18"/>
      <c r="B4179" s="1224" t="s">
        <v>2207</v>
      </c>
      <c r="C4179" s="1224"/>
      <c r="D4179" s="1224"/>
      <c r="E4179" s="153"/>
      <c r="F4179" s="20"/>
      <c r="G4179" s="20"/>
      <c r="H4179" s="20"/>
      <c r="I4179" s="20"/>
      <c r="J4179" s="20" t="s">
        <v>311</v>
      </c>
      <c r="K4179" s="353">
        <f>AVERAGE(K4175:K4178)</f>
        <v>112905.33616038496</v>
      </c>
      <c r="L4179" s="22" t="s">
        <v>245</v>
      </c>
      <c r="M4179" s="1146"/>
      <c r="N4179" s="1103"/>
      <c r="O4179"/>
      <c r="T4179" s="44"/>
    </row>
    <row r="4180" spans="1:24" ht="30" customHeight="1" thickBot="1">
      <c r="A4180" s="18"/>
      <c r="B4180" s="20"/>
      <c r="C4180" s="18"/>
      <c r="D4180" s="18"/>
      <c r="E4180" s="18"/>
      <c r="F4180" s="18"/>
      <c r="G4180" s="18"/>
      <c r="H4180" s="18" t="s">
        <v>2208</v>
      </c>
      <c r="I4180" s="18"/>
      <c r="J4180" s="79" t="s">
        <v>289</v>
      </c>
      <c r="K4180" s="247">
        <f>+K4179</f>
        <v>112905.33616038496</v>
      </c>
      <c r="L4180" s="22" t="s">
        <v>245</v>
      </c>
      <c r="M4180" s="1146"/>
      <c r="N4180" s="1103"/>
      <c r="O4180"/>
      <c r="P4180" s="34"/>
      <c r="Q4180" s="34"/>
      <c r="R4180" s="34"/>
      <c r="S4180" s="44"/>
      <c r="T4180" s="44"/>
    </row>
    <row r="4181" spans="1:24" ht="30" customHeight="1" thickBot="1">
      <c r="A4181" s="1165"/>
      <c r="B4181" s="1166"/>
      <c r="C4181" s="1166"/>
      <c r="D4181" s="1166"/>
      <c r="E4181" s="1166"/>
      <c r="F4181" s="1166"/>
      <c r="G4181" s="1166"/>
      <c r="H4181" s="1166"/>
      <c r="I4181" s="1166"/>
      <c r="J4181" s="1166"/>
      <c r="K4181" s="1166"/>
      <c r="L4181" s="1167"/>
      <c r="M4181" s="1146"/>
      <c r="N4181" s="803"/>
      <c r="O4181"/>
      <c r="P4181" s="34"/>
      <c r="Q4181" s="34"/>
      <c r="R4181" s="34"/>
      <c r="S4181" s="44"/>
    </row>
    <row r="4182" spans="1:24" ht="30" customHeight="1">
      <c r="A4182" s="108" t="s">
        <v>280</v>
      </c>
      <c r="B4182" s="163">
        <v>8721</v>
      </c>
      <c r="C4182" s="1379" t="s">
        <v>2209</v>
      </c>
      <c r="D4182" s="1380"/>
      <c r="E4182" s="216" t="s">
        <v>282</v>
      </c>
      <c r="F4182" s="217" t="s">
        <v>6</v>
      </c>
      <c r="G4182" s="58" t="s">
        <v>290</v>
      </c>
      <c r="H4182" s="245">
        <v>3504</v>
      </c>
      <c r="I4182" s="216" t="s">
        <v>283</v>
      </c>
      <c r="J4182" s="1199" t="s">
        <v>2529</v>
      </c>
      <c r="K4182" s="1199"/>
      <c r="L4182" s="1200"/>
      <c r="M4182" s="1146"/>
      <c r="N4182" s="226"/>
      <c r="O4182" s="38"/>
      <c r="P4182" s="159"/>
      <c r="Q4182" s="147"/>
      <c r="R4182" s="149"/>
    </row>
    <row r="4183" spans="1:24" ht="30" customHeight="1">
      <c r="A4183" s="294" t="s">
        <v>304</v>
      </c>
      <c r="B4183" s="1324" t="s">
        <v>330</v>
      </c>
      <c r="C4183" s="1325"/>
      <c r="D4183" s="1326"/>
      <c r="E4183" s="219" t="s">
        <v>295</v>
      </c>
      <c r="F4183" s="219" t="s">
        <v>331</v>
      </c>
      <c r="G4183" s="1327" t="s">
        <v>332</v>
      </c>
      <c r="H4183" s="1328"/>
      <c r="I4183" s="167" t="s">
        <v>305</v>
      </c>
      <c r="J4183" s="167"/>
      <c r="K4183" s="1303" t="s">
        <v>297</v>
      </c>
      <c r="L4183" s="1304"/>
      <c r="M4183" s="1146"/>
      <c r="N4183" s="193"/>
      <c r="O4183"/>
      <c r="P4183" s="159"/>
      <c r="Q4183" s="147"/>
      <c r="R4183" s="149"/>
    </row>
    <row r="4184" spans="1:24" ht="30" customHeight="1">
      <c r="A4184" s="24" t="s">
        <v>1790</v>
      </c>
      <c r="B4184" s="1513" t="s">
        <v>2838</v>
      </c>
      <c r="C4184" s="1514"/>
      <c r="D4184" s="1515"/>
      <c r="E4184" s="295">
        <v>21.5</v>
      </c>
      <c r="F4184" s="5" t="s">
        <v>6</v>
      </c>
      <c r="G4184" s="296"/>
      <c r="H4184" s="297"/>
      <c r="I4184" s="133">
        <v>1.05</v>
      </c>
      <c r="J4184" s="10"/>
      <c r="K4184" s="298">
        <f>+E4184*I4184</f>
        <v>22.574999999999999</v>
      </c>
      <c r="L4184" s="10" t="s">
        <v>6</v>
      </c>
      <c r="M4184" s="1146"/>
      <c r="O4184"/>
      <c r="P4184" s="159"/>
      <c r="Q4184" s="147"/>
      <c r="R4184" s="149"/>
      <c r="T4184" s="38"/>
      <c r="U4184" s="38"/>
      <c r="V4184" s="38"/>
      <c r="W4184" s="38"/>
      <c r="X4184" s="38"/>
    </row>
    <row r="4185" spans="1:24" s="38" customFormat="1" ht="30" customHeight="1">
      <c r="A4185" s="24" t="s">
        <v>1790</v>
      </c>
      <c r="B4185" s="1182" t="s">
        <v>2210</v>
      </c>
      <c r="C4185" s="1183"/>
      <c r="D4185" s="1184"/>
      <c r="E4185" s="299">
        <v>3.13</v>
      </c>
      <c r="F4185" s="5" t="s">
        <v>6</v>
      </c>
      <c r="G4185" s="296"/>
      <c r="H4185" s="297"/>
      <c r="I4185" s="10">
        <v>1.05</v>
      </c>
      <c r="J4185" s="10"/>
      <c r="K4185" s="298">
        <f>+E4185*I4185</f>
        <v>3.2865000000000002</v>
      </c>
      <c r="L4185" s="10" t="s">
        <v>6</v>
      </c>
      <c r="M4185" s="1146"/>
      <c r="N4185" s="25"/>
      <c r="O4185"/>
      <c r="P4185" s="159"/>
      <c r="Q4185" s="147"/>
      <c r="R4185" s="149"/>
      <c r="T4185"/>
      <c r="U4185"/>
      <c r="V4185"/>
      <c r="W4185"/>
      <c r="X4185"/>
    </row>
    <row r="4186" spans="1:24" ht="30" customHeight="1">
      <c r="A4186" s="24" t="s">
        <v>1790</v>
      </c>
      <c r="B4186" s="1182" t="s">
        <v>2837</v>
      </c>
      <c r="C4186" s="1183"/>
      <c r="D4186" s="1184"/>
      <c r="E4186" s="299">
        <v>1330</v>
      </c>
      <c r="F4186" s="5" t="s">
        <v>10</v>
      </c>
      <c r="G4186" s="296">
        <v>1000</v>
      </c>
      <c r="H4186" s="297" t="s">
        <v>2211</v>
      </c>
      <c r="I4186" s="10">
        <v>1.05</v>
      </c>
      <c r="J4186" s="10"/>
      <c r="K4186" s="298">
        <f>+E4186/G4186*I4186</f>
        <v>1.3965000000000001</v>
      </c>
      <c r="L4186" s="10" t="s">
        <v>6</v>
      </c>
      <c r="M4186" s="1146"/>
      <c r="O4186"/>
      <c r="P4186" s="159"/>
      <c r="Q4186" s="147"/>
      <c r="R4186" s="149"/>
      <c r="T4186" s="59"/>
      <c r="U4186" s="59"/>
      <c r="V4186" s="59"/>
      <c r="W4186" s="59"/>
      <c r="X4186" s="59"/>
    </row>
    <row r="4187" spans="1:24" s="59" customFormat="1" ht="30" customHeight="1">
      <c r="A4187" s="24" t="s">
        <v>1790</v>
      </c>
      <c r="B4187" s="1162" t="s">
        <v>2212</v>
      </c>
      <c r="C4187" s="1163"/>
      <c r="D4187" s="1164"/>
      <c r="E4187" s="299">
        <f>+(10200+12200)/2*1.3</f>
        <v>14560</v>
      </c>
      <c r="F4187" s="5" t="s">
        <v>10</v>
      </c>
      <c r="G4187" s="296">
        <v>1000</v>
      </c>
      <c r="H4187" s="297" t="s">
        <v>2211</v>
      </c>
      <c r="I4187" s="10">
        <v>1.05</v>
      </c>
      <c r="J4187" s="10"/>
      <c r="K4187" s="298">
        <f>+E4187/G4187*I4187</f>
        <v>15.288000000000002</v>
      </c>
      <c r="L4187" s="10" t="s">
        <v>6</v>
      </c>
      <c r="M4187" s="1146"/>
      <c r="N4187" s="25"/>
      <c r="O4187"/>
      <c r="P4187" s="159"/>
      <c r="Q4187" s="147"/>
      <c r="R4187" s="149"/>
    </row>
    <row r="4188" spans="1:24" s="59" customFormat="1" ht="30" customHeight="1">
      <c r="A4188" s="24" t="s">
        <v>1790</v>
      </c>
      <c r="B4188" s="1162" t="s">
        <v>2213</v>
      </c>
      <c r="C4188" s="1163"/>
      <c r="D4188" s="1164"/>
      <c r="E4188" s="299">
        <f>+(0.75+1.45)/2</f>
        <v>1.1000000000000001</v>
      </c>
      <c r="F4188" s="5" t="s">
        <v>8</v>
      </c>
      <c r="G4188" s="10">
        <v>8</v>
      </c>
      <c r="H4188" s="10" t="s">
        <v>2128</v>
      </c>
      <c r="I4188" s="10">
        <v>1.05</v>
      </c>
      <c r="J4188" s="10"/>
      <c r="K4188" s="830">
        <f>+E4188*G4188*I4188</f>
        <v>9.240000000000002</v>
      </c>
      <c r="L4188" s="10" t="s">
        <v>6</v>
      </c>
      <c r="M4188" s="1146"/>
      <c r="N4188" s="25"/>
      <c r="O4188"/>
      <c r="P4188" s="159"/>
      <c r="Q4188" s="147"/>
      <c r="R4188" s="149"/>
    </row>
    <row r="4189" spans="1:24" s="59" customFormat="1" ht="30" customHeight="1">
      <c r="A4189" s="24"/>
      <c r="B4189" s="119"/>
      <c r="C4189" s="120"/>
      <c r="D4189" s="121"/>
      <c r="E4189" s="299"/>
      <c r="F4189" s="5"/>
      <c r="G4189" s="296"/>
      <c r="H4189" s="1727" t="s">
        <v>2214</v>
      </c>
      <c r="I4189" s="1727"/>
      <c r="J4189" s="1289"/>
      <c r="K4189" s="298">
        <f>SUM(K4184:K4188)</f>
        <v>51.786000000000001</v>
      </c>
      <c r="L4189" s="10" t="s">
        <v>6</v>
      </c>
      <c r="M4189" s="1146"/>
      <c r="N4189" s="25"/>
      <c r="O4189" s="34"/>
      <c r="P4189" s="159"/>
      <c r="Q4189" s="147"/>
      <c r="R4189" s="149"/>
    </row>
    <row r="4190" spans="1:24" s="59" customFormat="1" ht="30" customHeight="1">
      <c r="A4190" s="24" t="s">
        <v>1790</v>
      </c>
      <c r="B4190" s="1182" t="s">
        <v>2215</v>
      </c>
      <c r="C4190" s="1183"/>
      <c r="D4190" s="1184"/>
      <c r="E4190" s="299"/>
      <c r="F4190" s="5"/>
      <c r="G4190" s="831">
        <v>-0.2</v>
      </c>
      <c r="H4190" s="832"/>
      <c r="I4190" s="833"/>
      <c r="J4190" s="489"/>
      <c r="K4190" s="298">
        <f>+G4190*K4189</f>
        <v>-10.357200000000001</v>
      </c>
      <c r="L4190" s="5"/>
      <c r="M4190" s="1146"/>
      <c r="N4190" s="1103"/>
      <c r="O4190" s="34"/>
      <c r="P4190" s="159"/>
      <c r="Q4190" s="147"/>
      <c r="R4190" s="149"/>
    </row>
    <row r="4191" spans="1:24" s="59" customFormat="1" ht="30" customHeight="1">
      <c r="A4191" s="24"/>
      <c r="B4191" s="119"/>
      <c r="C4191" s="120"/>
      <c r="D4191" s="121"/>
      <c r="E4191" s="299"/>
      <c r="F4191" s="5"/>
      <c r="G4191" s="296"/>
      <c r="H4191" s="1727" t="s">
        <v>2216</v>
      </c>
      <c r="I4191" s="1727"/>
      <c r="J4191" s="1289"/>
      <c r="K4191" s="298">
        <f>SUM(K4189:K4190)</f>
        <v>41.428800000000003</v>
      </c>
      <c r="L4191" s="10" t="s">
        <v>6</v>
      </c>
      <c r="M4191" s="1146"/>
      <c r="N4191" s="1103"/>
      <c r="O4191"/>
      <c r="P4191" s="159"/>
      <c r="Q4191" s="147"/>
      <c r="R4191" s="149"/>
      <c r="T4191"/>
      <c r="U4191"/>
      <c r="V4191"/>
      <c r="W4191"/>
      <c r="X4191"/>
    </row>
    <row r="4192" spans="1:24" ht="30" customHeight="1">
      <c r="A4192" s="45"/>
      <c r="B4192" s="157"/>
      <c r="C4192" s="157"/>
      <c r="D4192" s="157"/>
      <c r="E4192" s="153"/>
      <c r="F4192" s="1174" t="s">
        <v>308</v>
      </c>
      <c r="G4192" s="1208" t="s">
        <v>309</v>
      </c>
      <c r="H4192" s="1208"/>
      <c r="I4192" s="1208"/>
      <c r="J4192" s="1208"/>
      <c r="K4192" s="123">
        <v>1.06</v>
      </c>
      <c r="L4192" s="10"/>
      <c r="M4192" s="1146"/>
      <c r="N4192" s="1103"/>
      <c r="O4192"/>
      <c r="P4192" s="283"/>
      <c r="Q4192" s="282"/>
      <c r="R4192" s="284"/>
    </row>
    <row r="4193" spans="1:24" ht="30" customHeight="1">
      <c r="A4193" s="45"/>
      <c r="B4193" s="157"/>
      <c r="C4193" s="157"/>
      <c r="D4193" s="157"/>
      <c r="E4193" s="153"/>
      <c r="F4193" s="1175"/>
      <c r="G4193" s="1209" t="s">
        <v>310</v>
      </c>
      <c r="H4193" s="1209"/>
      <c r="I4193" s="1209"/>
      <c r="J4193" s="1209"/>
      <c r="K4193" s="123">
        <v>1.07</v>
      </c>
      <c r="L4193" s="10"/>
      <c r="M4193" s="1146"/>
      <c r="N4193" s="1103"/>
      <c r="O4193"/>
      <c r="P4193" s="283"/>
      <c r="Q4193" s="282"/>
      <c r="R4193" s="284"/>
      <c r="T4193" s="59"/>
      <c r="U4193" s="59"/>
      <c r="V4193" s="59"/>
      <c r="W4193" s="59"/>
      <c r="X4193" s="59"/>
    </row>
    <row r="4194" spans="1:24" s="59" customFormat="1" ht="30" customHeight="1">
      <c r="A4194" s="47"/>
      <c r="B4194" s="10"/>
      <c r="C4194" s="13"/>
      <c r="D4194" s="13"/>
      <c r="E4194" s="13"/>
      <c r="F4194" s="13"/>
      <c r="G4194" s="13"/>
      <c r="H4194" s="13"/>
      <c r="I4194" s="13"/>
      <c r="J4194" s="10" t="s">
        <v>289</v>
      </c>
      <c r="K4194" s="434">
        <f>+K4191*K4192/K4193</f>
        <v>41.041614953271029</v>
      </c>
      <c r="L4194" s="10" t="s">
        <v>6</v>
      </c>
      <c r="M4194" s="1146"/>
      <c r="N4194" s="1103"/>
      <c r="O4194"/>
      <c r="P4194" s="159"/>
      <c r="Q4194" s="147"/>
      <c r="R4194" s="149"/>
    </row>
    <row r="4195" spans="1:24" s="59" customFormat="1" ht="30" customHeight="1">
      <c r="A4195" s="47"/>
      <c r="B4195" s="10"/>
      <c r="C4195" s="13"/>
      <c r="D4195" s="13"/>
      <c r="E4195" s="13"/>
      <c r="F4195" s="13"/>
      <c r="G4195" s="813" t="s">
        <v>385</v>
      </c>
      <c r="H4195" s="13"/>
      <c r="I4195" s="13"/>
      <c r="J4195" s="139">
        <f>VLOOKUP(B4182,'Mil Cost Premiums for RUCs'!$A$4:$R$266,18,FALSE)</f>
        <v>1.0905505199999999</v>
      </c>
      <c r="K4195" s="434">
        <f>+K4194*J4195</f>
        <v>44.757954528929488</v>
      </c>
      <c r="L4195" s="10" t="s">
        <v>6</v>
      </c>
      <c r="M4195" s="1146"/>
      <c r="N4195" s="1103"/>
      <c r="O4195"/>
      <c r="P4195" s="159"/>
      <c r="Q4195" s="147"/>
      <c r="R4195" s="149"/>
    </row>
    <row r="4196" spans="1:24" s="59" customFormat="1" ht="60" customHeight="1">
      <c r="A4196" s="1337" t="s">
        <v>313</v>
      </c>
      <c r="B4196" s="1338"/>
      <c r="C4196" s="1338"/>
      <c r="D4196" s="1338"/>
      <c r="E4196" s="1338"/>
      <c r="F4196" s="1338"/>
      <c r="G4196" s="1338"/>
      <c r="H4196" s="1338"/>
      <c r="I4196" s="1338"/>
      <c r="J4196" s="1338"/>
      <c r="K4196" s="1338"/>
      <c r="L4196" s="1339"/>
      <c r="M4196" s="1146"/>
      <c r="N4196" s="1103"/>
      <c r="O4196"/>
      <c r="P4196" s="159"/>
      <c r="Q4196" s="147"/>
      <c r="R4196" s="149"/>
    </row>
    <row r="4197" spans="1:24" s="59" customFormat="1" ht="30" customHeight="1">
      <c r="A4197" s="1406" t="s">
        <v>314</v>
      </c>
      <c r="B4197" s="1407"/>
      <c r="C4197" s="1408"/>
      <c r="D4197" s="1270" t="s">
        <v>2217</v>
      </c>
      <c r="E4197" s="1371"/>
      <c r="F4197" s="1371"/>
      <c r="G4197" s="1371"/>
      <c r="H4197" s="1371"/>
      <c r="I4197" s="1371"/>
      <c r="J4197" s="1371"/>
      <c r="K4197" s="1371"/>
      <c r="L4197" s="1372"/>
      <c r="M4197" s="1146"/>
      <c r="N4197" s="1103"/>
      <c r="O4197"/>
      <c r="P4197" s="159"/>
      <c r="Q4197" s="147"/>
      <c r="R4197" s="149"/>
    </row>
    <row r="4198" spans="1:24" s="59" customFormat="1" ht="30" customHeight="1">
      <c r="A4198" s="1406" t="s">
        <v>316</v>
      </c>
      <c r="B4198" s="1407"/>
      <c r="C4198" s="1408"/>
      <c r="D4198" s="1270" t="s">
        <v>2218</v>
      </c>
      <c r="E4198" s="1371"/>
      <c r="F4198" s="1371"/>
      <c r="G4198" s="1371"/>
      <c r="H4198" s="1371"/>
      <c r="I4198" s="1371"/>
      <c r="J4198" s="1371"/>
      <c r="K4198" s="1371"/>
      <c r="L4198" s="1372"/>
      <c r="M4198" s="1146"/>
      <c r="N4198" s="282"/>
      <c r="O4198"/>
      <c r="P4198" s="159"/>
      <c r="Q4198" s="147"/>
      <c r="R4198" s="149"/>
    </row>
    <row r="4199" spans="1:24" s="59" customFormat="1" ht="30" customHeight="1">
      <c r="A4199" s="1406" t="s">
        <v>317</v>
      </c>
      <c r="B4199" s="1407"/>
      <c r="C4199" s="1408"/>
      <c r="D4199" s="1270" t="s">
        <v>2839</v>
      </c>
      <c r="E4199" s="1371"/>
      <c r="F4199" s="1371"/>
      <c r="G4199" s="1371"/>
      <c r="H4199" s="1371"/>
      <c r="I4199" s="1371"/>
      <c r="J4199" s="1371"/>
      <c r="K4199" s="1371"/>
      <c r="L4199" s="1372"/>
      <c r="M4199" s="1146"/>
      <c r="N4199" s="282"/>
      <c r="O4199" s="276"/>
      <c r="P4199" s="159"/>
      <c r="Q4199" s="147"/>
      <c r="R4199" s="149"/>
    </row>
    <row r="4200" spans="1:24" s="59" customFormat="1" ht="30" customHeight="1">
      <c r="A4200" s="1406" t="s">
        <v>318</v>
      </c>
      <c r="B4200" s="1407"/>
      <c r="C4200" s="1408"/>
      <c r="D4200" s="1270" t="s">
        <v>2219</v>
      </c>
      <c r="E4200" s="1371"/>
      <c r="F4200" s="1371"/>
      <c r="G4200" s="1371"/>
      <c r="H4200" s="1371"/>
      <c r="I4200" s="1371"/>
      <c r="J4200" s="1371"/>
      <c r="K4200" s="1371"/>
      <c r="L4200" s="1372"/>
      <c r="M4200" s="1146"/>
      <c r="N4200" s="1103"/>
      <c r="O4200"/>
      <c r="P4200" s="159"/>
      <c r="Q4200" s="147"/>
      <c r="R4200" s="149"/>
    </row>
    <row r="4201" spans="1:24" s="59" customFormat="1" ht="30" customHeight="1">
      <c r="A4201" s="1406" t="s">
        <v>320</v>
      </c>
      <c r="B4201" s="1407"/>
      <c r="C4201" s="1408"/>
      <c r="D4201" s="1270" t="s">
        <v>2220</v>
      </c>
      <c r="E4201" s="1371"/>
      <c r="F4201" s="1371"/>
      <c r="G4201" s="1371"/>
      <c r="H4201" s="1371"/>
      <c r="I4201" s="1371"/>
      <c r="J4201" s="1371"/>
      <c r="K4201" s="1371"/>
      <c r="L4201" s="1372"/>
      <c r="M4201" s="1146"/>
      <c r="N4201" s="1103"/>
      <c r="O4201"/>
      <c r="P4201" s="159"/>
      <c r="Q4201" s="147"/>
      <c r="R4201" s="149"/>
    </row>
    <row r="4202" spans="1:24" s="59" customFormat="1" ht="30" customHeight="1">
      <c r="A4202" s="1406" t="s">
        <v>322</v>
      </c>
      <c r="B4202" s="1407"/>
      <c r="C4202" s="1408"/>
      <c r="D4202" s="1270" t="s">
        <v>1891</v>
      </c>
      <c r="E4202" s="1371"/>
      <c r="F4202" s="1371"/>
      <c r="G4202" s="1371"/>
      <c r="H4202" s="1371"/>
      <c r="I4202" s="1371"/>
      <c r="J4202" s="1371"/>
      <c r="K4202" s="1371"/>
      <c r="L4202" s="1372"/>
      <c r="M4202" s="1146"/>
      <c r="N4202" s="1103"/>
      <c r="O4202"/>
      <c r="P4202" s="159"/>
      <c r="Q4202" s="147"/>
      <c r="R4202" s="149"/>
    </row>
    <row r="4203" spans="1:24" s="59" customFormat="1" ht="30" customHeight="1">
      <c r="A4203" s="1406" t="s">
        <v>324</v>
      </c>
      <c r="B4203" s="1407"/>
      <c r="C4203" s="1408"/>
      <c r="D4203" s="1270" t="s">
        <v>2221</v>
      </c>
      <c r="E4203" s="1371"/>
      <c r="F4203" s="1371"/>
      <c r="G4203" s="1371"/>
      <c r="H4203" s="1371"/>
      <c r="I4203" s="1371"/>
      <c r="J4203" s="1371"/>
      <c r="K4203" s="1371"/>
      <c r="L4203" s="1372"/>
      <c r="M4203" s="1146"/>
      <c r="N4203" s="1103"/>
      <c r="O4203" s="25"/>
      <c r="P4203" s="159"/>
      <c r="Q4203" s="147"/>
      <c r="R4203" s="149"/>
    </row>
    <row r="4204" spans="1:24" s="59" customFormat="1" ht="30" customHeight="1">
      <c r="A4204" s="1406" t="s">
        <v>325</v>
      </c>
      <c r="B4204" s="1407"/>
      <c r="C4204" s="1408"/>
      <c r="D4204" s="1270" t="s">
        <v>326</v>
      </c>
      <c r="E4204" s="1371"/>
      <c r="F4204" s="1371"/>
      <c r="G4204" s="1371"/>
      <c r="H4204" s="1371"/>
      <c r="I4204" s="1371"/>
      <c r="J4204" s="1371"/>
      <c r="K4204" s="1371"/>
      <c r="L4204" s="1372"/>
      <c r="M4204" s="1146"/>
      <c r="N4204" s="226"/>
      <c r="O4204" s="25"/>
      <c r="P4204" s="159"/>
      <c r="Q4204" s="147"/>
      <c r="R4204" s="149"/>
      <c r="T4204"/>
      <c r="U4204"/>
      <c r="V4204"/>
      <c r="W4204"/>
      <c r="X4204"/>
    </row>
    <row r="4205" spans="1:24" ht="93" customHeight="1" thickBot="1">
      <c r="A4205" s="1602" t="s">
        <v>327</v>
      </c>
      <c r="B4205" s="1603"/>
      <c r="C4205" s="1604"/>
      <c r="D4205" s="1270" t="s">
        <v>2937</v>
      </c>
      <c r="E4205" s="1371"/>
      <c r="F4205" s="1371"/>
      <c r="G4205" s="1371"/>
      <c r="H4205" s="1371"/>
      <c r="I4205" s="1371"/>
      <c r="J4205" s="1371"/>
      <c r="K4205" s="1371"/>
      <c r="L4205" s="1372"/>
      <c r="M4205" s="1146"/>
      <c r="N4205" s="656"/>
      <c r="O4205" s="193"/>
      <c r="P4205" s="159"/>
      <c r="Q4205" s="147"/>
      <c r="R4205" s="149"/>
    </row>
    <row r="4206" spans="1:24" ht="30" customHeight="1" thickBot="1">
      <c r="A4206" s="1165"/>
      <c r="B4206" s="1166"/>
      <c r="C4206" s="1166"/>
      <c r="D4206" s="1166"/>
      <c r="E4206" s="1166"/>
      <c r="F4206" s="1166"/>
      <c r="G4206" s="1166"/>
      <c r="H4206" s="1166"/>
      <c r="I4206" s="1166"/>
      <c r="J4206" s="1166"/>
      <c r="K4206" s="1166"/>
      <c r="L4206" s="1167"/>
      <c r="M4206" s="1146"/>
      <c r="N4206" s="704"/>
      <c r="O4206" s="25"/>
      <c r="P4206" s="229"/>
      <c r="Q4206" s="1103"/>
      <c r="R4206" s="149"/>
    </row>
    <row r="4207" spans="1:24" ht="30" customHeight="1">
      <c r="A4207" s="108" t="s">
        <v>280</v>
      </c>
      <c r="B4207" s="163">
        <v>8722</v>
      </c>
      <c r="C4207" s="1634" t="s">
        <v>2222</v>
      </c>
      <c r="D4207" s="1635"/>
      <c r="E4207" s="216" t="s">
        <v>282</v>
      </c>
      <c r="F4207" s="217" t="s">
        <v>6</v>
      </c>
      <c r="G4207" s="58" t="s">
        <v>290</v>
      </c>
      <c r="H4207" s="245">
        <v>5925</v>
      </c>
      <c r="I4207" s="216" t="s">
        <v>283</v>
      </c>
      <c r="J4207" s="1199" t="s">
        <v>2529</v>
      </c>
      <c r="K4207" s="1199"/>
      <c r="L4207" s="1200"/>
      <c r="M4207" s="1146"/>
      <c r="N4207" s="1103"/>
      <c r="O4207"/>
      <c r="P4207" s="229"/>
      <c r="Q4207" s="1103"/>
      <c r="R4207" s="149"/>
      <c r="T4207" s="38"/>
      <c r="U4207" s="38"/>
      <c r="V4207" s="38"/>
      <c r="W4207" s="38"/>
      <c r="X4207" s="38"/>
    </row>
    <row r="4208" spans="1:24" s="38" customFormat="1" ht="30" customHeight="1">
      <c r="A4208" s="294" t="s">
        <v>304</v>
      </c>
      <c r="B4208" s="1324" t="s">
        <v>330</v>
      </c>
      <c r="C4208" s="1325"/>
      <c r="D4208" s="1326"/>
      <c r="E4208" s="219" t="s">
        <v>295</v>
      </c>
      <c r="F4208" s="219" t="s">
        <v>331</v>
      </c>
      <c r="G4208" s="1327" t="s">
        <v>332</v>
      </c>
      <c r="H4208" s="1328"/>
      <c r="I4208" s="167" t="s">
        <v>305</v>
      </c>
      <c r="J4208" s="167"/>
      <c r="K4208" s="1303" t="s">
        <v>297</v>
      </c>
      <c r="L4208" s="1304"/>
      <c r="M4208" s="1146"/>
      <c r="N4208" s="1103"/>
      <c r="O4208" s="34"/>
      <c r="P4208" s="229"/>
      <c r="Q4208" s="1103"/>
      <c r="R4208" s="149"/>
      <c r="T4208" s="59"/>
      <c r="U4208" s="59"/>
      <c r="V4208" s="59"/>
      <c r="W4208" s="59"/>
      <c r="X4208" s="59"/>
    </row>
    <row r="4209" spans="1:24" s="59" customFormat="1" ht="30" customHeight="1">
      <c r="A4209" s="126" t="s">
        <v>1790</v>
      </c>
      <c r="B4209" s="1513" t="s">
        <v>2841</v>
      </c>
      <c r="C4209" s="1514"/>
      <c r="D4209" s="1515"/>
      <c r="E4209" s="834">
        <v>36</v>
      </c>
      <c r="F4209" s="800" t="s">
        <v>6</v>
      </c>
      <c r="G4209" s="835"/>
      <c r="H4209" s="801"/>
      <c r="I4209" s="133">
        <v>1.05</v>
      </c>
      <c r="J4209" s="133"/>
      <c r="K4209" s="836">
        <f>+E4209*I4209</f>
        <v>37.800000000000004</v>
      </c>
      <c r="L4209" s="800" t="s">
        <v>6</v>
      </c>
      <c r="M4209" s="1146"/>
      <c r="N4209" s="1103"/>
      <c r="O4209" s="34"/>
      <c r="P4209" s="229"/>
      <c r="Q4209" s="1103"/>
      <c r="R4209" s="149"/>
      <c r="S4209"/>
    </row>
    <row r="4210" spans="1:24" s="59" customFormat="1" ht="30" customHeight="1">
      <c r="A4210" s="24" t="s">
        <v>1790</v>
      </c>
      <c r="B4210" s="1182" t="s">
        <v>2210</v>
      </c>
      <c r="C4210" s="1183"/>
      <c r="D4210" s="1184"/>
      <c r="E4210" s="299">
        <v>3.13</v>
      </c>
      <c r="F4210" s="5" t="s">
        <v>6</v>
      </c>
      <c r="G4210" s="296"/>
      <c r="H4210" s="297"/>
      <c r="I4210" s="10">
        <v>1.05</v>
      </c>
      <c r="J4210" s="10"/>
      <c r="K4210" s="298">
        <f>+E4210*I4210</f>
        <v>3.2865000000000002</v>
      </c>
      <c r="L4210" s="5" t="s">
        <v>6</v>
      </c>
      <c r="M4210" s="1146"/>
      <c r="N4210" s="226"/>
      <c r="O4210"/>
      <c r="P4210" s="159"/>
      <c r="Q4210" s="147"/>
      <c r="R4210" s="149"/>
      <c r="S4210"/>
      <c r="T4210"/>
      <c r="U4210"/>
      <c r="V4210"/>
      <c r="W4210"/>
      <c r="X4210"/>
    </row>
    <row r="4211" spans="1:24" ht="30" customHeight="1">
      <c r="A4211" s="24" t="s">
        <v>1790</v>
      </c>
      <c r="B4211" s="1182" t="s">
        <v>2223</v>
      </c>
      <c r="C4211" s="1183"/>
      <c r="D4211" s="1184"/>
      <c r="E4211" s="299">
        <v>11.4</v>
      </c>
      <c r="F4211" s="5" t="s">
        <v>6</v>
      </c>
      <c r="G4211" s="296"/>
      <c r="H4211" s="297"/>
      <c r="I4211" s="10">
        <v>1.05</v>
      </c>
      <c r="J4211" s="10"/>
      <c r="K4211" s="298">
        <f>+E4211*I4211</f>
        <v>11.97</v>
      </c>
      <c r="L4211" s="5" t="s">
        <v>6</v>
      </c>
      <c r="M4211" s="1146"/>
      <c r="N4211" s="1103"/>
      <c r="O4211" s="59"/>
      <c r="P4211" s="283"/>
      <c r="Q4211" s="282"/>
      <c r="R4211" s="284"/>
    </row>
    <row r="4212" spans="1:24" ht="30" customHeight="1">
      <c r="A4212" s="24" t="s">
        <v>1790</v>
      </c>
      <c r="B4212" s="1182" t="s">
        <v>2842</v>
      </c>
      <c r="C4212" s="1183"/>
      <c r="D4212" s="1184"/>
      <c r="E4212" s="299">
        <v>1680</v>
      </c>
      <c r="F4212" s="5" t="s">
        <v>10</v>
      </c>
      <c r="G4212" s="837">
        <v>1000</v>
      </c>
      <c r="H4212" s="297" t="s">
        <v>2211</v>
      </c>
      <c r="I4212" s="10">
        <v>1.05</v>
      </c>
      <c r="J4212" s="10"/>
      <c r="K4212" s="298">
        <f>+E4212/G4212*I4212</f>
        <v>1.764</v>
      </c>
      <c r="L4212" s="5" t="s">
        <v>6</v>
      </c>
      <c r="M4212" s="1146"/>
      <c r="N4212" s="704"/>
      <c r="O4212"/>
      <c r="P4212" s="283"/>
      <c r="Q4212" s="282"/>
      <c r="R4212" s="284"/>
      <c r="T4212" s="59"/>
      <c r="U4212" s="59"/>
      <c r="V4212" s="59"/>
      <c r="W4212" s="59"/>
      <c r="X4212" s="59"/>
    </row>
    <row r="4213" spans="1:24" s="59" customFormat="1" ht="30" customHeight="1">
      <c r="A4213" s="24" t="s">
        <v>1790</v>
      </c>
      <c r="B4213" s="1162" t="s">
        <v>2224</v>
      </c>
      <c r="C4213" s="1163"/>
      <c r="D4213" s="1164"/>
      <c r="E4213" s="299">
        <f>+(10200+12200)/2*1.3</f>
        <v>14560</v>
      </c>
      <c r="F4213" s="5" t="s">
        <v>10</v>
      </c>
      <c r="G4213" s="837">
        <v>1000</v>
      </c>
      <c r="H4213" s="297" t="s">
        <v>2211</v>
      </c>
      <c r="I4213" s="10">
        <v>1.05</v>
      </c>
      <c r="J4213" s="10"/>
      <c r="K4213" s="298">
        <f>+E4213/G4213*I4213</f>
        <v>15.288000000000002</v>
      </c>
      <c r="L4213" s="5" t="s">
        <v>6</v>
      </c>
      <c r="M4213" s="1146"/>
      <c r="N4213" s="635"/>
      <c r="O4213"/>
      <c r="P4213" s="159"/>
      <c r="Q4213" s="147"/>
      <c r="R4213" s="149"/>
      <c r="T4213"/>
      <c r="U4213"/>
      <c r="V4213"/>
      <c r="W4213"/>
      <c r="X4213"/>
    </row>
    <row r="4214" spans="1:24" ht="30" customHeight="1">
      <c r="A4214" s="24" t="s">
        <v>1790</v>
      </c>
      <c r="B4214" s="1162" t="s">
        <v>2843</v>
      </c>
      <c r="C4214" s="1163"/>
      <c r="D4214" s="1164"/>
      <c r="E4214" s="299">
        <v>13.2</v>
      </c>
      <c r="F4214" s="5" t="s">
        <v>6</v>
      </c>
      <c r="G4214" s="296"/>
      <c r="H4214" s="297"/>
      <c r="I4214" s="10">
        <v>1.05</v>
      </c>
      <c r="J4214" s="10"/>
      <c r="K4214" s="298">
        <f>+E4214*I4214</f>
        <v>13.86</v>
      </c>
      <c r="L4214" s="5" t="s">
        <v>6</v>
      </c>
      <c r="M4214" s="1146"/>
      <c r="N4214" s="1116"/>
      <c r="O4214" s="38"/>
      <c r="P4214" s="308"/>
      <c r="Q4214" s="307"/>
      <c r="R4214" s="309"/>
    </row>
    <row r="4215" spans="1:24" ht="30" customHeight="1">
      <c r="A4215" s="47"/>
      <c r="B4215" s="1329"/>
      <c r="C4215" s="1329"/>
      <c r="D4215" s="1329"/>
      <c r="E4215" s="115"/>
      <c r="F4215" s="10"/>
      <c r="G4215" s="10"/>
      <c r="H4215" s="10"/>
      <c r="I4215" s="10"/>
      <c r="J4215" s="10" t="s">
        <v>379</v>
      </c>
      <c r="K4215" s="304">
        <f>SUM(K4209:K4214)</f>
        <v>83.968500000000006</v>
      </c>
      <c r="L4215" s="10" t="s">
        <v>6</v>
      </c>
      <c r="M4215" s="1146"/>
      <c r="N4215" s="1103"/>
      <c r="O4215"/>
      <c r="P4215" s="159"/>
      <c r="Q4215" s="147"/>
      <c r="R4215" s="149"/>
    </row>
    <row r="4216" spans="1:24" ht="30" customHeight="1">
      <c r="A4216" s="47"/>
      <c r="B4216" s="1162" t="s">
        <v>2840</v>
      </c>
      <c r="C4216" s="1163"/>
      <c r="D4216" s="1164"/>
      <c r="E4216" s="115"/>
      <c r="F4216" s="10"/>
      <c r="G4216" s="10"/>
      <c r="H4216" s="10"/>
      <c r="I4216" s="10"/>
      <c r="J4216" s="10"/>
      <c r="K4216" s="304">
        <f>+K4215*0.85</f>
        <v>71.373225000000005</v>
      </c>
      <c r="L4216" s="10" t="s">
        <v>6</v>
      </c>
      <c r="M4216" s="1146"/>
      <c r="N4216" s="1103"/>
      <c r="O4216"/>
      <c r="P4216" s="159"/>
      <c r="Q4216" s="147"/>
      <c r="R4216" s="149"/>
      <c r="T4216" s="38"/>
      <c r="U4216" s="38"/>
      <c r="V4216" s="38"/>
      <c r="W4216" s="38"/>
      <c r="X4216" s="38"/>
    </row>
    <row r="4217" spans="1:24" s="38" customFormat="1" ht="30" customHeight="1">
      <c r="A4217" s="45"/>
      <c r="B4217" s="157"/>
      <c r="C4217" s="157"/>
      <c r="D4217" s="157"/>
      <c r="E4217" s="153"/>
      <c r="F4217" s="1174" t="s">
        <v>308</v>
      </c>
      <c r="G4217" s="1208" t="s">
        <v>309</v>
      </c>
      <c r="H4217" s="1208"/>
      <c r="I4217" s="1208"/>
      <c r="J4217" s="1208"/>
      <c r="K4217" s="123">
        <v>1.06</v>
      </c>
      <c r="L4217" s="10"/>
      <c r="M4217" s="1146"/>
      <c r="N4217" s="282"/>
      <c r="O4217"/>
      <c r="P4217" s="159"/>
      <c r="Q4217" s="147"/>
      <c r="R4217" s="149"/>
      <c r="T4217"/>
      <c r="U4217"/>
      <c r="V4217"/>
      <c r="W4217"/>
      <c r="X4217"/>
    </row>
    <row r="4218" spans="1:24" ht="30" customHeight="1">
      <c r="A4218" s="45"/>
      <c r="B4218" s="157"/>
      <c r="C4218" s="157"/>
      <c r="D4218" s="157"/>
      <c r="E4218" s="153"/>
      <c r="F4218" s="1175"/>
      <c r="G4218" s="1209" t="s">
        <v>310</v>
      </c>
      <c r="H4218" s="1209"/>
      <c r="I4218" s="1209"/>
      <c r="J4218" s="1209"/>
      <c r="K4218" s="123">
        <v>1.07</v>
      </c>
      <c r="L4218" s="10"/>
      <c r="M4218" s="1146"/>
      <c r="N4218" s="282"/>
      <c r="O4218" s="59"/>
      <c r="P4218" s="159"/>
      <c r="Q4218" s="147"/>
      <c r="R4218" s="149"/>
    </row>
    <row r="4219" spans="1:24" ht="30" customHeight="1">
      <c r="A4219" s="47"/>
      <c r="B4219" s="10"/>
      <c r="C4219" s="13"/>
      <c r="D4219" s="13"/>
      <c r="E4219" s="13"/>
      <c r="F4219" s="13"/>
      <c r="G4219" s="13"/>
      <c r="H4219" s="13"/>
      <c r="I4219" s="13"/>
      <c r="J4219" s="10" t="s">
        <v>289</v>
      </c>
      <c r="K4219" s="434">
        <f>+K4216*K4217/K4218</f>
        <v>70.706185514018685</v>
      </c>
      <c r="L4219" s="10" t="s">
        <v>6</v>
      </c>
      <c r="M4219" s="1146"/>
      <c r="N4219" s="1103"/>
      <c r="O4219" s="59"/>
      <c r="P4219" s="159"/>
      <c r="Q4219" s="147"/>
      <c r="R4219" s="149"/>
      <c r="S4219" s="59"/>
    </row>
    <row r="4220" spans="1:24" ht="30" customHeight="1">
      <c r="A4220" s="47"/>
      <c r="B4220" s="10"/>
      <c r="C4220" s="13"/>
      <c r="D4220" s="13"/>
      <c r="E4220" s="13"/>
      <c r="F4220" s="13"/>
      <c r="G4220" s="235" t="s">
        <v>385</v>
      </c>
      <c r="H4220" s="13"/>
      <c r="I4220" s="13"/>
      <c r="J4220" s="139">
        <f>VLOOKUP(B4207,'Mil Cost Premiums for RUCs'!$A$4:$R$266,18,FALSE)</f>
        <v>1.0905505199999999</v>
      </c>
      <c r="K4220" s="14">
        <f>+K4219*J4220</f>
        <v>77.108667379529535</v>
      </c>
      <c r="L4220" s="10" t="s">
        <v>6</v>
      </c>
      <c r="M4220" s="1146"/>
      <c r="N4220" s="1103"/>
      <c r="O4220"/>
      <c r="P4220" s="159"/>
      <c r="Q4220" s="147"/>
      <c r="R4220" s="149"/>
      <c r="S4220" s="59"/>
    </row>
    <row r="4221" spans="1:24" ht="60" customHeight="1">
      <c r="A4221" s="1337" t="s">
        <v>313</v>
      </c>
      <c r="B4221" s="1338"/>
      <c r="C4221" s="1338"/>
      <c r="D4221" s="1338"/>
      <c r="E4221" s="1338"/>
      <c r="F4221" s="1338"/>
      <c r="G4221" s="1338"/>
      <c r="H4221" s="1338"/>
      <c r="I4221" s="1338"/>
      <c r="J4221" s="1338"/>
      <c r="K4221" s="1338"/>
      <c r="L4221" s="1339"/>
      <c r="M4221" s="1146"/>
      <c r="N4221" s="1103"/>
      <c r="O4221"/>
      <c r="P4221" s="308"/>
      <c r="Q4221" s="307"/>
      <c r="R4221" s="309"/>
    </row>
    <row r="4222" spans="1:24" ht="30" customHeight="1">
      <c r="A4222" s="1406" t="s">
        <v>314</v>
      </c>
      <c r="B4222" s="1407"/>
      <c r="C4222" s="1408"/>
      <c r="D4222" s="1270" t="s">
        <v>2225</v>
      </c>
      <c r="E4222" s="1371"/>
      <c r="F4222" s="1371"/>
      <c r="G4222" s="1371"/>
      <c r="H4222" s="1371"/>
      <c r="I4222" s="1371"/>
      <c r="J4222" s="1371"/>
      <c r="K4222" s="1371"/>
      <c r="L4222" s="1372"/>
      <c r="M4222" s="1146"/>
      <c r="N4222" s="803"/>
      <c r="O4222"/>
      <c r="P4222" s="308"/>
      <c r="Q4222" s="307"/>
      <c r="R4222" s="309"/>
      <c r="T4222" s="59"/>
      <c r="U4222" s="59"/>
      <c r="V4222" s="59"/>
      <c r="W4222" s="59"/>
      <c r="X4222" s="59"/>
    </row>
    <row r="4223" spans="1:24" s="59" customFormat="1" ht="30" customHeight="1">
      <c r="A4223" s="1406" t="s">
        <v>316</v>
      </c>
      <c r="B4223" s="1407"/>
      <c r="C4223" s="1408"/>
      <c r="D4223" s="1270" t="s">
        <v>2226</v>
      </c>
      <c r="E4223" s="1371"/>
      <c r="F4223" s="1371"/>
      <c r="G4223" s="1371"/>
      <c r="H4223" s="1371"/>
      <c r="I4223" s="1371"/>
      <c r="J4223" s="1371"/>
      <c r="K4223" s="1371"/>
      <c r="L4223" s="1372"/>
      <c r="M4223" s="1146"/>
      <c r="N4223" s="1103"/>
      <c r="O4223" s="34"/>
      <c r="P4223" s="159"/>
      <c r="Q4223" s="147"/>
      <c r="R4223" s="149"/>
      <c r="S4223"/>
      <c r="T4223"/>
      <c r="U4223"/>
      <c r="V4223"/>
      <c r="W4223"/>
      <c r="X4223"/>
    </row>
    <row r="4224" spans="1:24" ht="30" customHeight="1">
      <c r="A4224" s="1406" t="s">
        <v>317</v>
      </c>
      <c r="B4224" s="1407"/>
      <c r="C4224" s="1408"/>
      <c r="D4224" s="1270" t="s">
        <v>2227</v>
      </c>
      <c r="E4224" s="1371"/>
      <c r="F4224" s="1371"/>
      <c r="G4224" s="1371"/>
      <c r="H4224" s="1371"/>
      <c r="I4224" s="1371"/>
      <c r="J4224" s="1371"/>
      <c r="K4224" s="1371"/>
      <c r="L4224" s="1372"/>
      <c r="M4224" s="1146"/>
      <c r="N4224" s="1103"/>
      <c r="O4224" s="34"/>
      <c r="P4224" s="159"/>
      <c r="Q4224" s="147"/>
      <c r="R4224" s="149"/>
    </row>
    <row r="4225" spans="1:24" ht="30" customHeight="1">
      <c r="A4225" s="1406" t="s">
        <v>318</v>
      </c>
      <c r="B4225" s="1407"/>
      <c r="C4225" s="1408"/>
      <c r="D4225" s="1270" t="s">
        <v>2228</v>
      </c>
      <c r="E4225" s="1371"/>
      <c r="F4225" s="1371"/>
      <c r="G4225" s="1371"/>
      <c r="H4225" s="1371"/>
      <c r="I4225" s="1371"/>
      <c r="J4225" s="1371"/>
      <c r="K4225" s="1371"/>
      <c r="L4225" s="1372"/>
      <c r="M4225" s="1146"/>
      <c r="O4225"/>
      <c r="P4225" s="159"/>
      <c r="Q4225" s="147"/>
      <c r="R4225" s="149"/>
    </row>
    <row r="4226" spans="1:24" ht="30" customHeight="1">
      <c r="A4226" s="1406" t="s">
        <v>320</v>
      </c>
      <c r="B4226" s="1407"/>
      <c r="C4226" s="1408"/>
      <c r="D4226" s="1270" t="s">
        <v>2220</v>
      </c>
      <c r="E4226" s="1371"/>
      <c r="F4226" s="1371"/>
      <c r="G4226" s="1371"/>
      <c r="H4226" s="1371"/>
      <c r="I4226" s="1371"/>
      <c r="J4226" s="1371"/>
      <c r="K4226" s="1371"/>
      <c r="L4226" s="1372"/>
      <c r="M4226" s="1146"/>
      <c r="O4226"/>
      <c r="P4226" s="283"/>
      <c r="Q4226" s="282"/>
      <c r="R4226" s="284"/>
    </row>
    <row r="4227" spans="1:24" ht="30" customHeight="1">
      <c r="A4227" s="1406" t="s">
        <v>322</v>
      </c>
      <c r="B4227" s="1407"/>
      <c r="C4227" s="1408"/>
      <c r="D4227" s="1270" t="s">
        <v>1891</v>
      </c>
      <c r="E4227" s="1371"/>
      <c r="F4227" s="1371"/>
      <c r="G4227" s="1371"/>
      <c r="H4227" s="1371"/>
      <c r="I4227" s="1371"/>
      <c r="J4227" s="1371"/>
      <c r="K4227" s="1371"/>
      <c r="L4227" s="1372"/>
      <c r="M4227" s="1146"/>
      <c r="O4227"/>
      <c r="P4227" s="283"/>
      <c r="Q4227" s="282"/>
      <c r="R4227" s="284"/>
    </row>
    <row r="4228" spans="1:24" ht="30" customHeight="1">
      <c r="A4228" s="1406" t="s">
        <v>324</v>
      </c>
      <c r="B4228" s="1407"/>
      <c r="C4228" s="1408"/>
      <c r="D4228" s="1270" t="s">
        <v>2229</v>
      </c>
      <c r="E4228" s="1371"/>
      <c r="F4228" s="1371"/>
      <c r="G4228" s="1371"/>
      <c r="H4228" s="1371"/>
      <c r="I4228" s="1371"/>
      <c r="J4228" s="1371"/>
      <c r="K4228" s="1371"/>
      <c r="L4228" s="1372"/>
      <c r="M4228" s="1146"/>
      <c r="N4228" s="779"/>
      <c r="O4228"/>
      <c r="P4228" s="159"/>
      <c r="Q4228" s="147"/>
      <c r="R4228" s="149"/>
    </row>
    <row r="4229" spans="1:24" ht="30" customHeight="1">
      <c r="A4229" s="1406" t="s">
        <v>325</v>
      </c>
      <c r="B4229" s="1407"/>
      <c r="C4229" s="1408"/>
      <c r="D4229" s="1270" t="s">
        <v>326</v>
      </c>
      <c r="E4229" s="1371"/>
      <c r="F4229" s="1371"/>
      <c r="G4229" s="1371"/>
      <c r="H4229" s="1371"/>
      <c r="I4229" s="1371"/>
      <c r="J4229" s="1371"/>
      <c r="K4229" s="1371"/>
      <c r="L4229" s="1372"/>
      <c r="M4229" s="1146"/>
      <c r="N4229" s="803"/>
      <c r="O4229" s="38"/>
    </row>
    <row r="4230" spans="1:24" ht="30" customHeight="1" thickBot="1">
      <c r="A4230" s="1602" t="s">
        <v>327</v>
      </c>
      <c r="B4230" s="1603"/>
      <c r="C4230" s="1604"/>
      <c r="D4230" s="1270"/>
      <c r="E4230" s="1371"/>
      <c r="F4230" s="1371"/>
      <c r="G4230" s="1371"/>
      <c r="H4230" s="1371"/>
      <c r="I4230" s="1371"/>
      <c r="J4230" s="1371"/>
      <c r="K4230" s="1371"/>
      <c r="L4230" s="1372"/>
      <c r="M4230" s="1146"/>
      <c r="N4230" s="803"/>
      <c r="O4230"/>
    </row>
    <row r="4231" spans="1:24" ht="30" customHeight="1" thickBot="1">
      <c r="A4231" s="1165"/>
      <c r="B4231" s="1166"/>
      <c r="C4231" s="1166"/>
      <c r="D4231" s="1166"/>
      <c r="E4231" s="1166"/>
      <c r="F4231" s="1166"/>
      <c r="G4231" s="1166"/>
      <c r="H4231" s="1166"/>
      <c r="I4231" s="1166"/>
      <c r="J4231" s="1166"/>
      <c r="K4231" s="1166"/>
      <c r="L4231" s="1167"/>
      <c r="M4231" s="1146"/>
      <c r="O4231"/>
      <c r="T4231" s="38"/>
      <c r="U4231" s="38"/>
      <c r="V4231" s="38"/>
      <c r="W4231" s="38"/>
      <c r="X4231" s="38"/>
    </row>
    <row r="4232" spans="1:24" s="38" customFormat="1" ht="30" customHeight="1">
      <c r="A4232" s="81" t="s">
        <v>280</v>
      </c>
      <c r="B4232" s="82">
        <v>8813</v>
      </c>
      <c r="C4232" s="1197" t="s">
        <v>2230</v>
      </c>
      <c r="D4232" s="1198"/>
      <c r="E4232" s="74" t="s">
        <v>282</v>
      </c>
      <c r="F4232" s="75" t="s">
        <v>6</v>
      </c>
      <c r="G4232" s="58" t="s">
        <v>290</v>
      </c>
      <c r="H4232" s="76" t="s">
        <v>2231</v>
      </c>
      <c r="I4232" s="74" t="s">
        <v>283</v>
      </c>
      <c r="J4232" s="1199" t="s">
        <v>2529</v>
      </c>
      <c r="K4232" s="1199"/>
      <c r="L4232" s="1200"/>
      <c r="M4232" s="1146"/>
      <c r="N4232" s="282"/>
      <c r="O4232"/>
      <c r="T4232"/>
      <c r="U4232"/>
      <c r="V4232"/>
      <c r="W4232"/>
      <c r="X4232"/>
    </row>
    <row r="4233" spans="1:24" ht="30" customHeight="1">
      <c r="A4233" s="79" t="s">
        <v>304</v>
      </c>
      <c r="B4233" s="1201" t="s">
        <v>330</v>
      </c>
      <c r="C4233" s="1202"/>
      <c r="D4233" s="1203"/>
      <c r="E4233" s="150" t="s">
        <v>295</v>
      </c>
      <c r="F4233" s="150" t="s">
        <v>331</v>
      </c>
      <c r="G4233" s="1204" t="s">
        <v>332</v>
      </c>
      <c r="H4233" s="1205"/>
      <c r="I4233" s="77" t="s">
        <v>305</v>
      </c>
      <c r="J4233" s="77"/>
      <c r="K4233" s="1303" t="s">
        <v>297</v>
      </c>
      <c r="L4233" s="1304"/>
      <c r="M4233" s="1146"/>
      <c r="N4233" s="282"/>
      <c r="O4233" s="25"/>
    </row>
    <row r="4234" spans="1:24" ht="30" customHeight="1">
      <c r="A4234" s="20" t="s">
        <v>482</v>
      </c>
      <c r="B4234" s="1179" t="s">
        <v>2232</v>
      </c>
      <c r="C4234" s="1180"/>
      <c r="D4234" s="1181"/>
      <c r="E4234" s="331">
        <f>+(5.39+10.5)/2</f>
        <v>7.9450000000000003</v>
      </c>
      <c r="F4234" s="22" t="s">
        <v>3</v>
      </c>
      <c r="G4234" s="521">
        <v>1</v>
      </c>
      <c r="H4234" s="333" t="s">
        <v>544</v>
      </c>
      <c r="I4234" s="20">
        <v>1.07</v>
      </c>
      <c r="J4234" s="20"/>
      <c r="K4234" s="349">
        <f>+E4234*I4234</f>
        <v>8.5011500000000009</v>
      </c>
      <c r="L4234" s="22" t="s">
        <v>6</v>
      </c>
      <c r="M4234" s="1146"/>
      <c r="N4234" s="779"/>
      <c r="O4234"/>
    </row>
    <row r="4235" spans="1:24" ht="30" customHeight="1">
      <c r="A4235" s="20" t="s">
        <v>482</v>
      </c>
      <c r="B4235" s="1179" t="s">
        <v>491</v>
      </c>
      <c r="C4235" s="1180"/>
      <c r="D4235" s="1181"/>
      <c r="E4235" s="335">
        <f>(81.5+247)/2</f>
        <v>164.25</v>
      </c>
      <c r="F4235" s="22" t="s">
        <v>3</v>
      </c>
      <c r="G4235" s="521">
        <v>1</v>
      </c>
      <c r="H4235" s="333" t="s">
        <v>544</v>
      </c>
      <c r="I4235" s="20">
        <v>1.07</v>
      </c>
      <c r="J4235" s="20"/>
      <c r="K4235" s="349">
        <f>+E4235*I4235</f>
        <v>175.7475</v>
      </c>
      <c r="L4235" s="22" t="s">
        <v>6</v>
      </c>
      <c r="M4235" s="1146"/>
      <c r="N4235" s="1103"/>
      <c r="O4235" s="38"/>
      <c r="T4235" s="25"/>
      <c r="U4235" s="25"/>
      <c r="V4235" s="25"/>
      <c r="W4235" s="25"/>
      <c r="X4235" s="25"/>
    </row>
    <row r="4236" spans="1:24" s="25" customFormat="1" ht="30" customHeight="1">
      <c r="A4236" s="20" t="s">
        <v>482</v>
      </c>
      <c r="B4236" s="1179" t="s">
        <v>2233</v>
      </c>
      <c r="C4236" s="1180"/>
      <c r="D4236" s="1181"/>
      <c r="E4236" s="335">
        <f>(79+112)/2</f>
        <v>95.5</v>
      </c>
      <c r="F4236" s="22" t="s">
        <v>3</v>
      </c>
      <c r="G4236" s="521">
        <v>1</v>
      </c>
      <c r="H4236" s="333" t="s">
        <v>544</v>
      </c>
      <c r="I4236" s="20">
        <v>1.07</v>
      </c>
      <c r="J4236" s="20"/>
      <c r="K4236" s="349">
        <f>+E4236*I4236</f>
        <v>102.185</v>
      </c>
      <c r="L4236" s="22" t="s">
        <v>6</v>
      </c>
      <c r="M4236" s="1146"/>
      <c r="O4236"/>
      <c r="T4236"/>
      <c r="U4236"/>
      <c r="V4236"/>
      <c r="W4236"/>
      <c r="X4236"/>
    </row>
    <row r="4237" spans="1:24" ht="30" customHeight="1">
      <c r="A4237" s="20" t="s">
        <v>482</v>
      </c>
      <c r="B4237" s="1179" t="s">
        <v>493</v>
      </c>
      <c r="C4237" s="1180"/>
      <c r="D4237" s="1181"/>
      <c r="E4237" s="335">
        <f>(0.61+4.54)/2</f>
        <v>2.5750000000000002</v>
      </c>
      <c r="F4237" s="22" t="s">
        <v>3</v>
      </c>
      <c r="G4237" s="521">
        <v>1</v>
      </c>
      <c r="H4237" s="333" t="s">
        <v>544</v>
      </c>
      <c r="I4237" s="20">
        <v>1.07</v>
      </c>
      <c r="J4237" s="20"/>
      <c r="K4237" s="349">
        <f>+E4237/G4237*I4237</f>
        <v>2.7552500000000002</v>
      </c>
      <c r="L4237" s="22" t="s">
        <v>6</v>
      </c>
      <c r="M4237" s="1146"/>
      <c r="N4237" s="704"/>
      <c r="O4237"/>
      <c r="T4237" s="38"/>
      <c r="U4237" s="38"/>
      <c r="V4237" s="38"/>
      <c r="W4237" s="38"/>
      <c r="X4237" s="38"/>
    </row>
    <row r="4238" spans="1:24" s="38" customFormat="1" ht="30" customHeight="1">
      <c r="A4238" s="20" t="s">
        <v>482</v>
      </c>
      <c r="B4238" s="1179" t="s">
        <v>2200</v>
      </c>
      <c r="C4238" s="1180"/>
      <c r="D4238" s="1181"/>
      <c r="E4238" s="335">
        <f>(9.94+17.05)/2</f>
        <v>13.495000000000001</v>
      </c>
      <c r="F4238" s="22" t="s">
        <v>3</v>
      </c>
      <c r="G4238" s="521">
        <v>1</v>
      </c>
      <c r="H4238" s="333" t="s">
        <v>544</v>
      </c>
      <c r="I4238" s="20">
        <v>1.07</v>
      </c>
      <c r="J4238" s="20"/>
      <c r="K4238" s="349">
        <f>+E4238/G4238*I4238</f>
        <v>14.439650000000002</v>
      </c>
      <c r="L4238" s="22" t="s">
        <v>6</v>
      </c>
      <c r="M4238" s="1146"/>
      <c r="N4238" s="1101"/>
      <c r="O4238"/>
      <c r="T4238"/>
      <c r="U4238"/>
      <c r="V4238"/>
      <c r="W4238"/>
      <c r="X4238"/>
    </row>
    <row r="4239" spans="1:24" ht="30" customHeight="1">
      <c r="A4239" s="18"/>
      <c r="B4239" s="18" t="s">
        <v>2234</v>
      </c>
      <c r="C4239" s="157"/>
      <c r="D4239" s="157"/>
      <c r="E4239" s="153"/>
      <c r="F4239" s="20"/>
      <c r="G4239" s="20"/>
      <c r="H4239" s="20"/>
      <c r="I4239" s="20"/>
      <c r="J4239" s="20" t="s">
        <v>311</v>
      </c>
      <c r="K4239" s="353">
        <f>AVERAGE(K4234:K4238)</f>
        <v>60.725710000000007</v>
      </c>
      <c r="L4239" s="20" t="s">
        <v>6</v>
      </c>
      <c r="M4239" s="1146"/>
      <c r="O4239"/>
    </row>
    <row r="4240" spans="1:24" ht="30" customHeight="1">
      <c r="A4240" s="20"/>
      <c r="B4240" s="157"/>
      <c r="C4240" s="157"/>
      <c r="D4240" s="157"/>
      <c r="E4240" s="153"/>
      <c r="F4240" s="1174" t="s">
        <v>308</v>
      </c>
      <c r="G4240" s="1208" t="s">
        <v>309</v>
      </c>
      <c r="H4240" s="1208"/>
      <c r="I4240" s="1208"/>
      <c r="J4240" s="1208"/>
      <c r="K4240" s="123">
        <v>1.06</v>
      </c>
      <c r="L4240" s="10"/>
      <c r="M4240" s="1146"/>
      <c r="O4240"/>
    </row>
    <row r="4241" spans="1:24" ht="30" customHeight="1">
      <c r="A4241" s="20"/>
      <c r="B4241" s="157"/>
      <c r="C4241" s="157"/>
      <c r="D4241" s="157"/>
      <c r="E4241" s="153"/>
      <c r="F4241" s="1175"/>
      <c r="G4241" s="1209" t="s">
        <v>2534</v>
      </c>
      <c r="H4241" s="1209"/>
      <c r="I4241" s="1209"/>
      <c r="J4241" s="1209"/>
      <c r="K4241" s="123">
        <v>1.07</v>
      </c>
      <c r="L4241" s="10"/>
      <c r="M4241" s="1146"/>
      <c r="O4241"/>
    </row>
    <row r="4242" spans="1:24" ht="30" customHeight="1">
      <c r="A4242" s="18"/>
      <c r="B4242" s="20"/>
      <c r="C4242" s="18"/>
      <c r="D4242" s="18"/>
      <c r="E4242" s="18"/>
      <c r="F4242" s="18"/>
      <c r="G4242" s="18"/>
      <c r="H4242" s="18"/>
      <c r="I4242" s="18"/>
      <c r="J4242" s="20" t="s">
        <v>289</v>
      </c>
      <c r="K4242" s="23">
        <f>+K4239*K4240/K4241</f>
        <v>60.158180000000009</v>
      </c>
      <c r="L4242" s="20" t="s">
        <v>6</v>
      </c>
      <c r="M4242" s="1146"/>
      <c r="O4242" s="59"/>
    </row>
    <row r="4243" spans="1:24" ht="30" customHeight="1" thickBot="1">
      <c r="A4243" s="20"/>
      <c r="B4243" s="20"/>
      <c r="C4243" s="18"/>
      <c r="D4243" s="18"/>
      <c r="E4243" s="18"/>
      <c r="F4243" s="18"/>
      <c r="G4243" s="160" t="s">
        <v>312</v>
      </c>
      <c r="H4243" s="18"/>
      <c r="I4243" s="18"/>
      <c r="J4243" s="139">
        <f>VLOOKUP(B4232,'Mil Cost Premiums for RUCs'!$A$4:$R$266,18,FALSE)</f>
        <v>1.0905505199999999</v>
      </c>
      <c r="K4243" s="23">
        <f>+K4242*J4243</f>
        <v>65.605534481253599</v>
      </c>
      <c r="L4243" s="20" t="s">
        <v>6</v>
      </c>
      <c r="M4243" s="1146"/>
      <c r="O4243" s="760"/>
      <c r="P4243" s="159"/>
      <c r="Q4243" s="147"/>
      <c r="R4243" s="149"/>
    </row>
    <row r="4244" spans="1:24" ht="30" customHeight="1" thickBot="1">
      <c r="A4244" s="1165"/>
      <c r="B4244" s="1166"/>
      <c r="C4244" s="1166"/>
      <c r="D4244" s="1166"/>
      <c r="E4244" s="1166"/>
      <c r="F4244" s="1166"/>
      <c r="G4244" s="1166"/>
      <c r="H4244" s="1166"/>
      <c r="I4244" s="1166"/>
      <c r="J4244" s="1166"/>
      <c r="K4244" s="1166"/>
      <c r="L4244" s="1167"/>
      <c r="M4244" s="1146"/>
      <c r="N4244" s="193"/>
      <c r="O4244" s="59"/>
      <c r="P4244" s="159"/>
      <c r="Q4244" s="147"/>
      <c r="R4244" s="149"/>
    </row>
    <row r="4245" spans="1:24" ht="30" customHeight="1">
      <c r="A4245" s="1021" t="s">
        <v>280</v>
      </c>
      <c r="B4245" s="1025">
        <v>8840</v>
      </c>
      <c r="C4245" s="1197" t="s">
        <v>2597</v>
      </c>
      <c r="D4245" s="1198"/>
      <c r="E4245" s="74" t="s">
        <v>282</v>
      </c>
      <c r="F4245" s="75" t="s">
        <v>10</v>
      </c>
      <c r="G4245" s="181" t="s">
        <v>281</v>
      </c>
      <c r="H4245" s="76">
        <v>1</v>
      </c>
      <c r="I4245" s="74" t="s">
        <v>283</v>
      </c>
      <c r="J4245" s="1199" t="s">
        <v>2529</v>
      </c>
      <c r="K4245" s="1199"/>
      <c r="L4245" s="1200"/>
      <c r="M4245" s="1146"/>
      <c r="N4245" s="635"/>
      <c r="O4245" s="34"/>
      <c r="P4245" s="308"/>
      <c r="Q4245" s="307"/>
      <c r="R4245" s="309"/>
      <c r="T4245" s="760"/>
      <c r="U4245" s="760"/>
      <c r="V4245" s="760"/>
      <c r="W4245" s="760"/>
      <c r="X4245" s="760"/>
    </row>
    <row r="4246" spans="1:24" s="59" customFormat="1" ht="30" customHeight="1">
      <c r="A4246" s="682" t="s">
        <v>304</v>
      </c>
      <c r="B4246" s="1641" t="s">
        <v>330</v>
      </c>
      <c r="C4246" s="1642"/>
      <c r="D4246" s="1643"/>
      <c r="E4246" s="683" t="s">
        <v>295</v>
      </c>
      <c r="F4246" s="683" t="s">
        <v>331</v>
      </c>
      <c r="G4246" s="1644" t="s">
        <v>332</v>
      </c>
      <c r="H4246" s="1645"/>
      <c r="I4246" s="1233" t="s">
        <v>305</v>
      </c>
      <c r="J4246" s="1234"/>
      <c r="K4246" s="1303" t="s">
        <v>297</v>
      </c>
      <c r="L4246" s="1304"/>
      <c r="M4246" s="1146"/>
      <c r="N4246" s="803"/>
      <c r="P4246" s="308"/>
      <c r="Q4246" s="307"/>
      <c r="R4246" s="309"/>
      <c r="S4246"/>
    </row>
    <row r="4247" spans="1:24" s="760" customFormat="1" ht="30" customHeight="1">
      <c r="A4247" s="20" t="s">
        <v>508</v>
      </c>
      <c r="B4247" s="1179" t="s">
        <v>2598</v>
      </c>
      <c r="C4247" s="1180"/>
      <c r="D4247" s="1181"/>
      <c r="E4247" s="153">
        <v>34.5</v>
      </c>
      <c r="F4247" s="20" t="s">
        <v>344</v>
      </c>
      <c r="G4247" s="1018">
        <v>130</v>
      </c>
      <c r="H4247" s="153" t="s">
        <v>509</v>
      </c>
      <c r="I4247" s="1728">
        <v>1.08</v>
      </c>
      <c r="J4247" s="1729"/>
      <c r="K4247" s="315">
        <f>+E4247*G4247*I4247</f>
        <v>4843.8</v>
      </c>
      <c r="L4247" s="20" t="s">
        <v>10</v>
      </c>
      <c r="M4247" s="1146"/>
      <c r="N4247" s="635"/>
      <c r="O4247" s="34"/>
      <c r="P4247" s="308"/>
      <c r="Q4247" s="307"/>
      <c r="R4247" s="309"/>
      <c r="S4247" s="38"/>
      <c r="T4247" s="59"/>
      <c r="U4247" s="59"/>
      <c r="V4247" s="59"/>
      <c r="W4247" s="59"/>
      <c r="X4247" s="59"/>
    </row>
    <row r="4248" spans="1:24" s="59" customFormat="1" ht="30" customHeight="1">
      <c r="A4248" s="20"/>
      <c r="B4248" s="1017"/>
      <c r="C4248" s="1017"/>
      <c r="D4248" s="1017"/>
      <c r="E4248" s="153"/>
      <c r="F4248" s="1174" t="s">
        <v>308</v>
      </c>
      <c r="G4248" s="1208" t="s">
        <v>309</v>
      </c>
      <c r="H4248" s="1208"/>
      <c r="I4248" s="1208"/>
      <c r="J4248" s="1208"/>
      <c r="K4248" s="123">
        <v>1.06</v>
      </c>
      <c r="L4248" s="10"/>
      <c r="M4248" s="1146"/>
      <c r="N4248" s="25"/>
      <c r="P4248" s="308"/>
      <c r="Q4248" s="307"/>
      <c r="R4248" s="309"/>
      <c r="S4248"/>
      <c r="T4248"/>
      <c r="U4248"/>
      <c r="V4248"/>
      <c r="W4248"/>
      <c r="X4248"/>
    </row>
    <row r="4249" spans="1:24" ht="30" customHeight="1">
      <c r="A4249" s="20"/>
      <c r="B4249" s="1017"/>
      <c r="C4249" s="1017"/>
      <c r="D4249" s="1017"/>
      <c r="E4249" s="153"/>
      <c r="F4249" s="1175"/>
      <c r="G4249" s="1209" t="s">
        <v>2534</v>
      </c>
      <c r="H4249" s="1209"/>
      <c r="I4249" s="1209"/>
      <c r="J4249" s="1209"/>
      <c r="K4249" s="123">
        <v>1.07</v>
      </c>
      <c r="L4249" s="10"/>
      <c r="M4249" s="1146"/>
      <c r="O4249" s="59"/>
      <c r="P4249" s="283"/>
      <c r="Q4249" s="282"/>
      <c r="R4249" s="284"/>
    </row>
    <row r="4250" spans="1:24" ht="30" customHeight="1">
      <c r="A4250" s="20"/>
      <c r="B4250" s="20"/>
      <c r="C4250" s="18"/>
      <c r="D4250" s="18"/>
      <c r="E4250" s="18"/>
      <c r="F4250" s="18"/>
      <c r="G4250" s="18"/>
      <c r="H4250" s="18"/>
      <c r="I4250" s="18"/>
      <c r="J4250" s="20" t="s">
        <v>289</v>
      </c>
      <c r="K4250" s="23">
        <f>+K4247*K4248/K4249</f>
        <v>4798.5308411214955</v>
      </c>
      <c r="L4250" s="20" t="s">
        <v>10</v>
      </c>
      <c r="M4250" s="1146"/>
      <c r="O4250" s="59"/>
      <c r="P4250" s="283"/>
      <c r="Q4250" s="282"/>
      <c r="R4250" s="284"/>
      <c r="T4250" s="59"/>
      <c r="U4250" s="59"/>
      <c r="V4250" s="59"/>
      <c r="W4250" s="59"/>
      <c r="X4250" s="59"/>
    </row>
    <row r="4251" spans="1:24" s="59" customFormat="1" ht="30" customHeight="1" thickBot="1">
      <c r="A4251" s="20"/>
      <c r="B4251" s="20"/>
      <c r="C4251" s="18"/>
      <c r="D4251" s="18"/>
      <c r="E4251" s="18"/>
      <c r="F4251" s="18"/>
      <c r="G4251" s="160" t="s">
        <v>312</v>
      </c>
      <c r="H4251" s="18"/>
      <c r="I4251" s="18"/>
      <c r="J4251" s="139">
        <f>VLOOKUP(B4245,'Mil Cost Premiums for RUCs'!$A$4:$R$266,18,FALSE)</f>
        <v>1.0209999999999999</v>
      </c>
      <c r="K4251" s="23">
        <f>+K4250*J4251</f>
        <v>4899.2999887850465</v>
      </c>
      <c r="L4251" s="20" t="s">
        <v>10</v>
      </c>
      <c r="M4251" s="1146"/>
      <c r="N4251" s="25"/>
      <c r="P4251" s="308"/>
      <c r="Q4251" s="307"/>
      <c r="R4251" s="309"/>
      <c r="S4251"/>
    </row>
    <row r="4252" spans="1:24" s="59" customFormat="1" ht="30" customHeight="1" thickBot="1">
      <c r="A4252" s="1165"/>
      <c r="B4252" s="1166"/>
      <c r="C4252" s="1166"/>
      <c r="D4252" s="1166"/>
      <c r="E4252" s="1166"/>
      <c r="F4252" s="1166"/>
      <c r="G4252" s="1166"/>
      <c r="H4252" s="1166"/>
      <c r="I4252" s="1166"/>
      <c r="J4252" s="1166"/>
      <c r="K4252" s="1166"/>
      <c r="L4252" s="1167"/>
      <c r="M4252" s="1146"/>
      <c r="N4252" s="1103"/>
      <c r="P4252" s="308"/>
      <c r="Q4252" s="307"/>
      <c r="R4252" s="309"/>
      <c r="S4252"/>
    </row>
    <row r="4253" spans="1:24" s="59" customFormat="1" ht="30" customHeight="1">
      <c r="A4253" s="677" t="s">
        <v>280</v>
      </c>
      <c r="B4253" s="678">
        <v>8910</v>
      </c>
      <c r="C4253" s="1659" t="s">
        <v>2235</v>
      </c>
      <c r="D4253" s="1660"/>
      <c r="E4253" s="679" t="s">
        <v>282</v>
      </c>
      <c r="F4253" s="697" t="s">
        <v>8</v>
      </c>
      <c r="G4253" s="58" t="s">
        <v>290</v>
      </c>
      <c r="H4253" s="681">
        <v>1305</v>
      </c>
      <c r="I4253" s="679" t="s">
        <v>283</v>
      </c>
      <c r="J4253" s="1199" t="s">
        <v>2529</v>
      </c>
      <c r="K4253" s="1199"/>
      <c r="L4253" s="1200"/>
      <c r="M4253" s="1146"/>
      <c r="N4253" s="1103"/>
      <c r="P4253" s="308"/>
      <c r="Q4253" s="307"/>
      <c r="R4253" s="309"/>
      <c r="S4253"/>
    </row>
    <row r="4254" spans="1:24" s="59" customFormat="1" ht="30" customHeight="1">
      <c r="A4254" s="682" t="s">
        <v>304</v>
      </c>
      <c r="B4254" s="1641" t="s">
        <v>330</v>
      </c>
      <c r="C4254" s="1642"/>
      <c r="D4254" s="1643"/>
      <c r="E4254" s="683" t="s">
        <v>295</v>
      </c>
      <c r="F4254" s="683" t="s">
        <v>331</v>
      </c>
      <c r="G4254" s="1644" t="s">
        <v>332</v>
      </c>
      <c r="H4254" s="1645"/>
      <c r="I4254" s="77" t="s">
        <v>305</v>
      </c>
      <c r="J4254" s="684"/>
      <c r="K4254" s="1303" t="s">
        <v>297</v>
      </c>
      <c r="L4254" s="1304"/>
      <c r="M4254" s="1146"/>
      <c r="N4254" s="803"/>
      <c r="P4254" s="308"/>
      <c r="Q4254" s="307"/>
      <c r="R4254" s="309"/>
      <c r="S4254"/>
    </row>
    <row r="4255" spans="1:24" s="59" customFormat="1" ht="30" customHeight="1">
      <c r="A4255" s="690" t="s">
        <v>1594</v>
      </c>
      <c r="B4255" s="1646" t="s">
        <v>2236</v>
      </c>
      <c r="C4255" s="1647"/>
      <c r="D4255" s="1648"/>
      <c r="E4255" s="708">
        <v>61.5</v>
      </c>
      <c r="F4255" s="687" t="s">
        <v>8</v>
      </c>
      <c r="G4255" s="709"/>
      <c r="H4255" s="689"/>
      <c r="I4255" s="690">
        <v>1.05</v>
      </c>
      <c r="J4255" s="687"/>
      <c r="K4255" s="694">
        <f>+E4255*I4255</f>
        <v>64.575000000000003</v>
      </c>
      <c r="L4255" s="687" t="s">
        <v>8</v>
      </c>
      <c r="M4255" s="1146"/>
      <c r="N4255" s="282"/>
      <c r="P4255" s="308"/>
      <c r="Q4255" s="307"/>
      <c r="R4255" s="309"/>
      <c r="S4255"/>
    </row>
    <row r="4256" spans="1:24" s="59" customFormat="1" ht="30" customHeight="1">
      <c r="A4256" s="685" t="s">
        <v>377</v>
      </c>
      <c r="B4256" s="1646" t="s">
        <v>2237</v>
      </c>
      <c r="C4256" s="1647"/>
      <c r="D4256" s="1648"/>
      <c r="E4256" s="686">
        <v>5.0599999999999996</v>
      </c>
      <c r="F4256" s="687" t="s">
        <v>8</v>
      </c>
      <c r="G4256" s="710"/>
      <c r="H4256" s="711"/>
      <c r="I4256" s="690">
        <v>1.05</v>
      </c>
      <c r="J4256" s="687"/>
      <c r="K4256" s="694">
        <f>+E4256*I4256</f>
        <v>5.3129999999999997</v>
      </c>
      <c r="L4256" s="687" t="s">
        <v>8</v>
      </c>
      <c r="M4256" s="1146"/>
      <c r="N4256" s="282"/>
      <c r="P4256" s="308"/>
      <c r="Q4256" s="307"/>
      <c r="R4256" s="309"/>
      <c r="S4256"/>
    </row>
    <row r="4257" spans="1:24" s="59" customFormat="1" ht="30" customHeight="1">
      <c r="A4257" s="24" t="s">
        <v>377</v>
      </c>
      <c r="B4257" s="1162" t="s">
        <v>1008</v>
      </c>
      <c r="C4257" s="1163"/>
      <c r="D4257" s="1164"/>
      <c r="E4257" s="14">
        <f>0.15*E4256</f>
        <v>0.7589999999999999</v>
      </c>
      <c r="F4257" s="687" t="s">
        <v>8</v>
      </c>
      <c r="G4257" s="710"/>
      <c r="H4257" s="711"/>
      <c r="I4257" s="690">
        <v>1.05</v>
      </c>
      <c r="J4257" s="687"/>
      <c r="K4257" s="694">
        <f>+E4257*I4257</f>
        <v>0.79694999999999994</v>
      </c>
      <c r="L4257" s="687" t="s">
        <v>8</v>
      </c>
      <c r="M4257" s="1146"/>
      <c r="N4257" s="803"/>
      <c r="P4257" s="308"/>
      <c r="Q4257" s="307"/>
      <c r="R4257" s="309"/>
      <c r="S4257"/>
    </row>
    <row r="4258" spans="1:24" s="59" customFormat="1" ht="30" customHeight="1">
      <c r="A4258" s="24" t="s">
        <v>377</v>
      </c>
      <c r="B4258" s="1162" t="s">
        <v>1009</v>
      </c>
      <c r="C4258" s="1163"/>
      <c r="D4258" s="1164"/>
      <c r="E4258" s="14">
        <f xml:space="preserve"> 0.53+((1.06+1.57)/2)</f>
        <v>1.845</v>
      </c>
      <c r="F4258" s="687" t="s">
        <v>8</v>
      </c>
      <c r="G4258" s="710"/>
      <c r="H4258" s="711"/>
      <c r="I4258" s="690">
        <v>1.05</v>
      </c>
      <c r="J4258" s="687"/>
      <c r="K4258" s="694">
        <f>+E4258*I4258</f>
        <v>1.9372500000000001</v>
      </c>
      <c r="L4258" s="687" t="s">
        <v>8</v>
      </c>
      <c r="M4258" s="1146"/>
      <c r="N4258" s="803"/>
      <c r="P4258" s="308"/>
      <c r="Q4258" s="307"/>
      <c r="R4258" s="309"/>
      <c r="S4258"/>
    </row>
    <row r="4259" spans="1:24" s="59" customFormat="1" ht="30" customHeight="1">
      <c r="A4259" s="307"/>
      <c r="B4259" s="226"/>
      <c r="C4259" s="226"/>
      <c r="D4259" s="226"/>
      <c r="E4259" s="226"/>
      <c r="F4259" s="690"/>
      <c r="G4259" s="690"/>
      <c r="H4259" s="690"/>
      <c r="I4259" s="690"/>
      <c r="J4259" s="690" t="s">
        <v>346</v>
      </c>
      <c r="K4259" s="686">
        <f>SUM(K4255:K4258)</f>
        <v>72.622200000000007</v>
      </c>
      <c r="L4259" s="690" t="s">
        <v>8</v>
      </c>
      <c r="M4259" s="1146"/>
      <c r="N4259" s="803"/>
      <c r="O4259"/>
      <c r="P4259" s="308"/>
      <c r="Q4259" s="307"/>
      <c r="R4259" s="309"/>
      <c r="S4259"/>
    </row>
    <row r="4260" spans="1:24" s="59" customFormat="1" ht="30" customHeight="1">
      <c r="A4260" s="307"/>
      <c r="B4260" s="226"/>
      <c r="C4260" s="226"/>
      <c r="D4260" s="226"/>
      <c r="E4260" s="226"/>
      <c r="F4260" s="1174" t="s">
        <v>308</v>
      </c>
      <c r="G4260" s="1208" t="s">
        <v>309</v>
      </c>
      <c r="H4260" s="1208"/>
      <c r="I4260" s="1208"/>
      <c r="J4260" s="1208"/>
      <c r="K4260" s="123">
        <v>1.03</v>
      </c>
      <c r="L4260" s="10"/>
      <c r="M4260" s="1146"/>
      <c r="N4260" s="803"/>
      <c r="O4260"/>
      <c r="P4260" s="308"/>
      <c r="Q4260" s="307"/>
      <c r="R4260" s="309"/>
      <c r="S4260"/>
    </row>
    <row r="4261" spans="1:24" s="59" customFormat="1" ht="30" customHeight="1">
      <c r="A4261" s="45"/>
      <c r="B4261" s="157"/>
      <c r="C4261" s="157"/>
      <c r="D4261" s="157"/>
      <c r="E4261" s="153"/>
      <c r="F4261" s="1175"/>
      <c r="G4261" s="1209" t="s">
        <v>2534</v>
      </c>
      <c r="H4261" s="1209"/>
      <c r="I4261" s="1209"/>
      <c r="J4261" s="1209"/>
      <c r="K4261" s="123">
        <v>1.07</v>
      </c>
      <c r="L4261" s="10"/>
      <c r="M4261" s="1146"/>
      <c r="N4261" s="803"/>
      <c r="O4261"/>
      <c r="P4261" s="308"/>
      <c r="Q4261" s="307"/>
      <c r="R4261" s="309"/>
      <c r="S4261"/>
      <c r="T4261"/>
      <c r="U4261"/>
      <c r="V4261"/>
      <c r="W4261"/>
      <c r="X4261"/>
    </row>
    <row r="4262" spans="1:24" ht="30" customHeight="1">
      <c r="A4262" s="690"/>
      <c r="B4262" s="690"/>
      <c r="C4262" s="693"/>
      <c r="D4262" s="693"/>
      <c r="E4262" s="693"/>
      <c r="F4262" s="693"/>
      <c r="G4262" s="693"/>
      <c r="H4262" s="693"/>
      <c r="I4262" s="693"/>
      <c r="J4262" s="690" t="s">
        <v>289</v>
      </c>
      <c r="K4262" s="694">
        <f>+K4259*K4260/K4261</f>
        <v>69.907351401869164</v>
      </c>
      <c r="L4262" s="690" t="s">
        <v>8</v>
      </c>
      <c r="M4262" s="1146"/>
      <c r="N4262" s="803"/>
      <c r="O4262" s="38"/>
      <c r="P4262" s="159"/>
      <c r="Q4262" s="147"/>
      <c r="R4262" s="149"/>
    </row>
    <row r="4263" spans="1:24" ht="30" customHeight="1">
      <c r="A4263" s="690"/>
      <c r="B4263" s="690"/>
      <c r="C4263" s="693"/>
      <c r="D4263" s="693"/>
      <c r="E4263" s="693"/>
      <c r="F4263" s="693"/>
      <c r="G4263" s="841" t="s">
        <v>385</v>
      </c>
      <c r="H4263" s="693"/>
      <c r="I4263" s="693"/>
      <c r="J4263" s="139">
        <f>VLOOKUP(B4253,'Mil Cost Premiums for RUCs'!$A$4:$R$266,18,FALSE)</f>
        <v>1.1323590634842093</v>
      </c>
      <c r="K4263" s="694">
        <f>+K4262*J4263</f>
        <v>79.160222964082095</v>
      </c>
      <c r="L4263" s="690" t="s">
        <v>8</v>
      </c>
      <c r="M4263" s="1146"/>
      <c r="N4263" s="803"/>
      <c r="O4263"/>
      <c r="P4263" s="159"/>
      <c r="Q4263" s="147"/>
      <c r="R4263" s="149"/>
    </row>
    <row r="4264" spans="1:24" ht="60" customHeight="1">
      <c r="A4264" s="1439" t="s">
        <v>2917</v>
      </c>
      <c r="B4264" s="1440"/>
      <c r="C4264" s="1440"/>
      <c r="D4264" s="1440"/>
      <c r="E4264" s="1440"/>
      <c r="F4264" s="1440"/>
      <c r="G4264" s="1440"/>
      <c r="H4264" s="1440"/>
      <c r="I4264" s="1440"/>
      <c r="J4264" s="1440"/>
      <c r="K4264" s="1440"/>
      <c r="L4264" s="1441"/>
      <c r="M4264" s="1146"/>
      <c r="N4264" s="803"/>
      <c r="O4264"/>
      <c r="P4264" s="159"/>
      <c r="Q4264" s="147"/>
      <c r="R4264" s="149"/>
      <c r="T4264" s="38"/>
      <c r="U4264" s="38"/>
      <c r="V4264" s="38"/>
      <c r="W4264" s="38"/>
      <c r="X4264" s="38"/>
    </row>
    <row r="4265" spans="1:24" s="38" customFormat="1" ht="45" customHeight="1">
      <c r="A4265" s="1406" t="s">
        <v>314</v>
      </c>
      <c r="B4265" s="1407"/>
      <c r="C4265" s="1408"/>
      <c r="D4265" s="1270" t="s">
        <v>2238</v>
      </c>
      <c r="E4265" s="1371"/>
      <c r="F4265" s="1371"/>
      <c r="G4265" s="1371"/>
      <c r="H4265" s="1371"/>
      <c r="I4265" s="1371"/>
      <c r="J4265" s="1371"/>
      <c r="K4265" s="1371"/>
      <c r="L4265" s="1372"/>
      <c r="M4265" s="1146"/>
      <c r="N4265" s="803"/>
      <c r="O4265"/>
      <c r="P4265" s="159"/>
      <c r="Q4265" s="147"/>
      <c r="R4265" s="149"/>
      <c r="T4265" s="59"/>
      <c r="U4265" s="59"/>
      <c r="V4265" s="59"/>
      <c r="W4265" s="59"/>
      <c r="X4265" s="59"/>
    </row>
    <row r="4266" spans="1:24" s="59" customFormat="1" ht="30" customHeight="1">
      <c r="A4266" s="1406" t="s">
        <v>316</v>
      </c>
      <c r="B4266" s="1407"/>
      <c r="C4266" s="1408"/>
      <c r="D4266" s="1270" t="s">
        <v>2239</v>
      </c>
      <c r="E4266" s="1371"/>
      <c r="F4266" s="1371"/>
      <c r="G4266" s="1371"/>
      <c r="H4266" s="1371"/>
      <c r="I4266" s="1371"/>
      <c r="J4266" s="1371"/>
      <c r="K4266" s="1371"/>
      <c r="L4266" s="1372"/>
      <c r="M4266" s="1146"/>
      <c r="N4266" s="803"/>
      <c r="O4266"/>
      <c r="P4266" s="159"/>
      <c r="Q4266" s="147"/>
      <c r="R4266" s="149"/>
      <c r="S4266"/>
    </row>
    <row r="4267" spans="1:24" s="59" customFormat="1" ht="30" customHeight="1">
      <c r="A4267" s="1406" t="s">
        <v>317</v>
      </c>
      <c r="B4267" s="1407"/>
      <c r="C4267" s="1408"/>
      <c r="D4267" s="1270" t="s">
        <v>2844</v>
      </c>
      <c r="E4267" s="1371"/>
      <c r="F4267" s="1371"/>
      <c r="G4267" s="1371"/>
      <c r="H4267" s="1371"/>
      <c r="I4267" s="1371"/>
      <c r="J4267" s="1371"/>
      <c r="K4267" s="1371"/>
      <c r="L4267" s="1372"/>
      <c r="M4267" s="1146"/>
      <c r="N4267" s="803"/>
      <c r="P4267" s="159"/>
      <c r="Q4267" s="147"/>
      <c r="R4267" s="149"/>
      <c r="T4267"/>
      <c r="U4267"/>
      <c r="V4267"/>
      <c r="W4267"/>
      <c r="X4267"/>
    </row>
    <row r="4268" spans="1:24" ht="45" customHeight="1">
      <c r="A4268" s="1406" t="s">
        <v>318</v>
      </c>
      <c r="B4268" s="1407"/>
      <c r="C4268" s="1408"/>
      <c r="D4268" s="1270" t="s">
        <v>2240</v>
      </c>
      <c r="E4268" s="1371"/>
      <c r="F4268" s="1371"/>
      <c r="G4268" s="1371"/>
      <c r="H4268" s="1371"/>
      <c r="I4268" s="1371"/>
      <c r="J4268" s="1371"/>
      <c r="K4268" s="1371"/>
      <c r="L4268" s="1372"/>
      <c r="M4268" s="1146"/>
      <c r="N4268" s="704"/>
      <c r="O4268"/>
      <c r="P4268" s="159"/>
      <c r="Q4268" s="147"/>
      <c r="R4268" s="149"/>
      <c r="S4268" s="59"/>
    </row>
    <row r="4269" spans="1:24" ht="30" customHeight="1">
      <c r="A4269" s="1406" t="s">
        <v>320</v>
      </c>
      <c r="B4269" s="1407"/>
      <c r="C4269" s="1408"/>
      <c r="D4269" s="1270" t="s">
        <v>1361</v>
      </c>
      <c r="E4269" s="1371"/>
      <c r="F4269" s="1371"/>
      <c r="G4269" s="1371"/>
      <c r="H4269" s="1371"/>
      <c r="I4269" s="1371"/>
      <c r="J4269" s="1371"/>
      <c r="K4269" s="1371"/>
      <c r="L4269" s="1372"/>
      <c r="M4269" s="1146"/>
      <c r="N4269" s="704"/>
      <c r="O4269" s="38"/>
      <c r="P4269" s="159"/>
      <c r="Q4269" s="147"/>
      <c r="R4269" s="149"/>
    </row>
    <row r="4270" spans="1:24" ht="30" customHeight="1">
      <c r="A4270" s="1406" t="s">
        <v>322</v>
      </c>
      <c r="B4270" s="1407"/>
      <c r="C4270" s="1408"/>
      <c r="D4270" s="1270" t="s">
        <v>2241</v>
      </c>
      <c r="E4270" s="1371"/>
      <c r="F4270" s="1371"/>
      <c r="G4270" s="1371"/>
      <c r="H4270" s="1371"/>
      <c r="I4270" s="1371"/>
      <c r="J4270" s="1371"/>
      <c r="K4270" s="1371"/>
      <c r="L4270" s="1372"/>
      <c r="M4270" s="1146"/>
      <c r="N4270" s="1103"/>
      <c r="O4270"/>
      <c r="P4270" s="308"/>
      <c r="Q4270" s="307"/>
      <c r="R4270" s="309"/>
    </row>
    <row r="4271" spans="1:24" ht="30" customHeight="1">
      <c r="A4271" s="1406" t="s">
        <v>324</v>
      </c>
      <c r="B4271" s="1407"/>
      <c r="C4271" s="1408"/>
      <c r="D4271" s="1270" t="s">
        <v>2242</v>
      </c>
      <c r="E4271" s="1371"/>
      <c r="F4271" s="1371"/>
      <c r="G4271" s="1371"/>
      <c r="H4271" s="1371"/>
      <c r="I4271" s="1371"/>
      <c r="J4271" s="1371"/>
      <c r="K4271" s="1371"/>
      <c r="L4271" s="1372"/>
      <c r="M4271" s="1146"/>
      <c r="N4271" s="1103"/>
      <c r="O4271"/>
      <c r="P4271" s="159"/>
      <c r="Q4271" s="147"/>
      <c r="R4271" s="149"/>
      <c r="T4271" s="38"/>
      <c r="U4271" s="38"/>
      <c r="V4271" s="38"/>
      <c r="W4271" s="38"/>
      <c r="X4271" s="38"/>
    </row>
    <row r="4272" spans="1:24" s="38" customFormat="1" ht="75" customHeight="1">
      <c r="A4272" s="1406" t="s">
        <v>325</v>
      </c>
      <c r="B4272" s="1407"/>
      <c r="C4272" s="1408"/>
      <c r="D4272" s="1270" t="s">
        <v>391</v>
      </c>
      <c r="E4272" s="1371"/>
      <c r="F4272" s="1371"/>
      <c r="G4272" s="1371"/>
      <c r="H4272" s="1371"/>
      <c r="I4272" s="1371"/>
      <c r="J4272" s="1371"/>
      <c r="K4272" s="1371"/>
      <c r="L4272" s="1372"/>
      <c r="M4272" s="1146"/>
      <c r="N4272" s="1103"/>
      <c r="O4272"/>
      <c r="P4272" s="159"/>
      <c r="Q4272" s="147"/>
      <c r="R4272" s="149"/>
      <c r="T4272" s="59"/>
      <c r="U4272" s="59"/>
      <c r="V4272" s="59"/>
      <c r="W4272" s="59"/>
      <c r="X4272" s="59"/>
    </row>
    <row r="4273" spans="1:24" s="59" customFormat="1" ht="47.25" customHeight="1" thickBot="1">
      <c r="A4273" s="1602" t="s">
        <v>327</v>
      </c>
      <c r="B4273" s="1603"/>
      <c r="C4273" s="1604"/>
      <c r="D4273" s="1270" t="s">
        <v>2845</v>
      </c>
      <c r="E4273" s="1371"/>
      <c r="F4273" s="1371"/>
      <c r="G4273" s="1371"/>
      <c r="H4273" s="1371"/>
      <c r="I4273" s="1371"/>
      <c r="J4273" s="1371"/>
      <c r="K4273" s="1371"/>
      <c r="L4273" s="1372"/>
      <c r="M4273" s="1146"/>
      <c r="N4273" s="1103"/>
      <c r="O4273" s="34"/>
      <c r="P4273" s="159"/>
      <c r="Q4273" s="147"/>
      <c r="R4273" s="149"/>
      <c r="S4273"/>
    </row>
    <row r="4274" spans="1:24" s="59" customFormat="1" ht="30" customHeight="1">
      <c r="A4274" s="1032"/>
      <c r="B4274" s="1032"/>
      <c r="C4274" s="1032"/>
      <c r="D4274" s="1032"/>
      <c r="E4274" s="1032"/>
      <c r="F4274" s="1032"/>
      <c r="G4274" s="1032"/>
      <c r="H4274" s="1032"/>
      <c r="I4274" s="1032"/>
      <c r="J4274" s="1032"/>
      <c r="K4274" s="1032"/>
      <c r="L4274" s="1032"/>
      <c r="M4274" s="1146"/>
      <c r="N4274" s="1103"/>
      <c r="O4274" s="34"/>
      <c r="P4274" s="159"/>
      <c r="Q4274" s="147"/>
      <c r="R4274" s="149"/>
    </row>
    <row r="4275" spans="1:24" s="59" customFormat="1" ht="30" customHeight="1">
      <c r="A4275" s="27" t="s">
        <v>280</v>
      </c>
      <c r="B4275" s="82">
        <v>8921</v>
      </c>
      <c r="C4275" s="1197" t="s">
        <v>2243</v>
      </c>
      <c r="D4275" s="1198"/>
      <c r="E4275" s="74" t="s">
        <v>282</v>
      </c>
      <c r="F4275" s="75" t="s">
        <v>10</v>
      </c>
      <c r="G4275" s="181" t="s">
        <v>281</v>
      </c>
      <c r="H4275" s="76">
        <v>1</v>
      </c>
      <c r="I4275" s="74" t="s">
        <v>283</v>
      </c>
      <c r="J4275" s="1199" t="s">
        <v>2529</v>
      </c>
      <c r="K4275" s="1199"/>
      <c r="L4275" s="1200"/>
      <c r="M4275" s="1146"/>
      <c r="N4275" s="1103"/>
      <c r="O4275"/>
      <c r="P4275" s="159"/>
      <c r="Q4275" s="147"/>
      <c r="R4275" s="149"/>
      <c r="T4275"/>
      <c r="U4275"/>
      <c r="V4275"/>
      <c r="W4275"/>
      <c r="X4275"/>
    </row>
    <row r="4276" spans="1:24" ht="30" customHeight="1">
      <c r="A4276" s="37" t="s">
        <v>304</v>
      </c>
      <c r="B4276" s="1201" t="s">
        <v>330</v>
      </c>
      <c r="C4276" s="1202"/>
      <c r="D4276" s="1203"/>
      <c r="E4276" s="150" t="s">
        <v>295</v>
      </c>
      <c r="F4276" s="150" t="s">
        <v>331</v>
      </c>
      <c r="G4276" s="1204" t="s">
        <v>332</v>
      </c>
      <c r="H4276" s="1205"/>
      <c r="I4276" s="77" t="s">
        <v>305</v>
      </c>
      <c r="J4276" s="77"/>
      <c r="K4276" s="1303" t="s">
        <v>297</v>
      </c>
      <c r="L4276" s="1304"/>
      <c r="M4276" s="1146"/>
      <c r="N4276" s="1103"/>
      <c r="O4276" s="59"/>
      <c r="P4276" s="283"/>
      <c r="Q4276" s="282"/>
      <c r="R4276" s="284"/>
    </row>
    <row r="4277" spans="1:24" ht="30" customHeight="1">
      <c r="A4277" s="20" t="s">
        <v>333</v>
      </c>
      <c r="B4277" s="1176" t="s">
        <v>2244</v>
      </c>
      <c r="C4277" s="1177"/>
      <c r="D4277" s="1178"/>
      <c r="E4277" s="335">
        <v>90.91</v>
      </c>
      <c r="F4277" s="22" t="s">
        <v>8</v>
      </c>
      <c r="G4277" s="361">
        <v>1105</v>
      </c>
      <c r="H4277" s="1026" t="s">
        <v>334</v>
      </c>
      <c r="I4277" s="20">
        <v>1.05</v>
      </c>
      <c r="J4277" s="20"/>
      <c r="K4277" s="335">
        <f>+E4277*G4277*I4277</f>
        <v>105478.32750000001</v>
      </c>
      <c r="L4277" s="22" t="s">
        <v>10</v>
      </c>
      <c r="M4277" s="1146"/>
      <c r="N4277" s="1103"/>
      <c r="O4277" s="59"/>
      <c r="P4277" s="283"/>
      <c r="Q4277" s="282"/>
      <c r="R4277" s="284"/>
    </row>
    <row r="4278" spans="1:24" ht="30" customHeight="1">
      <c r="A4278" s="647" t="s">
        <v>1066</v>
      </c>
      <c r="B4278" s="1176" t="s">
        <v>2245</v>
      </c>
      <c r="C4278" s="1177"/>
      <c r="D4278" s="1178"/>
      <c r="E4278" s="335">
        <v>22.68</v>
      </c>
      <c r="F4278" s="22" t="s">
        <v>8</v>
      </c>
      <c r="G4278" s="361">
        <v>1105</v>
      </c>
      <c r="H4278" s="1026" t="s">
        <v>334</v>
      </c>
      <c r="I4278" s="20">
        <v>1.05</v>
      </c>
      <c r="J4278" s="20"/>
      <c r="K4278" s="331">
        <f>+E4278*G4278*I4278</f>
        <v>26314.47</v>
      </c>
      <c r="L4278" s="22" t="s">
        <v>10</v>
      </c>
      <c r="M4278" s="1146"/>
      <c r="N4278" s="803"/>
      <c r="O4278"/>
      <c r="P4278" s="159"/>
      <c r="Q4278" s="147"/>
      <c r="R4278" s="149"/>
      <c r="S4278" s="59"/>
    </row>
    <row r="4279" spans="1:24" ht="30" customHeight="1">
      <c r="A4279" s="647" t="s">
        <v>1991</v>
      </c>
      <c r="B4279" s="1176" t="s">
        <v>1992</v>
      </c>
      <c r="C4279" s="1177"/>
      <c r="D4279" s="1178"/>
      <c r="E4279" s="335">
        <f>+(9550+11400)/2</f>
        <v>10475</v>
      </c>
      <c r="F4279" s="22" t="s">
        <v>10</v>
      </c>
      <c r="G4279" s="778"/>
      <c r="H4279" s="1026"/>
      <c r="I4279" s="326">
        <v>1.06</v>
      </c>
      <c r="J4279" s="20"/>
      <c r="K4279" s="331">
        <f>+E4279*I4279</f>
        <v>11103.5</v>
      </c>
      <c r="L4279" s="22" t="s">
        <v>10</v>
      </c>
      <c r="M4279" s="1146"/>
      <c r="N4279" s="1103"/>
      <c r="O4279" s="38"/>
      <c r="P4279" s="308"/>
      <c r="Q4279" s="307"/>
      <c r="R4279" s="309"/>
    </row>
    <row r="4280" spans="1:24" ht="30" customHeight="1">
      <c r="A4280" s="647" t="s">
        <v>369</v>
      </c>
      <c r="B4280" s="1176" t="s">
        <v>2246</v>
      </c>
      <c r="C4280" s="1177"/>
      <c r="D4280" s="1178"/>
      <c r="E4280" s="335">
        <v>115000</v>
      </c>
      <c r="F4280" s="22" t="s">
        <v>10</v>
      </c>
      <c r="G4280" s="778"/>
      <c r="H4280" s="1026"/>
      <c r="I4280" s="20">
        <v>1.08</v>
      </c>
      <c r="J4280" s="20"/>
      <c r="K4280" s="331">
        <f>+E4280*I4280</f>
        <v>124200.00000000001</v>
      </c>
      <c r="L4280" s="22" t="s">
        <v>10</v>
      </c>
      <c r="M4280" s="1146"/>
      <c r="N4280" s="1103"/>
      <c r="O4280"/>
      <c r="P4280" s="308"/>
      <c r="Q4280" s="307"/>
      <c r="R4280" s="309"/>
    </row>
    <row r="4281" spans="1:24" ht="30" customHeight="1">
      <c r="A4281" s="351"/>
      <c r="B4281" s="1179" t="s">
        <v>2846</v>
      </c>
      <c r="C4281" s="1180"/>
      <c r="D4281" s="1181"/>
      <c r="E4281" s="153"/>
      <c r="F4281" s="20"/>
      <c r="G4281" s="20"/>
      <c r="H4281" s="20"/>
      <c r="I4281" s="20"/>
      <c r="J4281" s="20" t="s">
        <v>379</v>
      </c>
      <c r="K4281" s="153">
        <f>SUM(K4277:K4280)</f>
        <v>267096.29750000004</v>
      </c>
      <c r="L4281" s="20" t="s">
        <v>10</v>
      </c>
      <c r="M4281" s="1146"/>
      <c r="N4281" s="1103"/>
      <c r="O4281"/>
      <c r="P4281" s="159"/>
      <c r="Q4281" s="147"/>
      <c r="R4281" s="149"/>
      <c r="T4281" s="38"/>
      <c r="U4281" s="38"/>
      <c r="V4281" s="38"/>
      <c r="W4281" s="38"/>
      <c r="X4281" s="38"/>
    </row>
    <row r="4282" spans="1:24" s="38" customFormat="1" ht="30" customHeight="1">
      <c r="A4282" s="20"/>
      <c r="B4282" s="1017"/>
      <c r="C4282" s="1017"/>
      <c r="D4282" s="1017"/>
      <c r="E4282" s="153"/>
      <c r="F4282" s="1174" t="s">
        <v>308</v>
      </c>
      <c r="G4282" s="1208" t="s">
        <v>309</v>
      </c>
      <c r="H4282" s="1208"/>
      <c r="I4282" s="1208"/>
      <c r="J4282" s="1208"/>
      <c r="K4282" s="123">
        <v>1.06</v>
      </c>
      <c r="L4282" s="10"/>
      <c r="M4282" s="1146"/>
      <c r="N4282" s="282"/>
      <c r="O4282"/>
      <c r="P4282" s="159"/>
      <c r="Q4282" s="147"/>
      <c r="R4282" s="149"/>
      <c r="T4282"/>
      <c r="U4282"/>
      <c r="V4282"/>
      <c r="W4282"/>
      <c r="X4282"/>
    </row>
    <row r="4283" spans="1:24" ht="30" customHeight="1">
      <c r="A4283" s="20"/>
      <c r="B4283" s="1017"/>
      <c r="C4283" s="1017"/>
      <c r="D4283" s="1017"/>
      <c r="E4283" s="153"/>
      <c r="F4283" s="1175"/>
      <c r="G4283" s="1209" t="s">
        <v>2534</v>
      </c>
      <c r="H4283" s="1209"/>
      <c r="I4283" s="1209"/>
      <c r="J4283" s="1209"/>
      <c r="K4283" s="123">
        <v>1.07</v>
      </c>
      <c r="L4283" s="10"/>
      <c r="M4283" s="1146"/>
      <c r="N4283" s="282"/>
      <c r="O4283"/>
      <c r="P4283" s="159"/>
      <c r="Q4283" s="147"/>
      <c r="R4283" s="149"/>
    </row>
    <row r="4284" spans="1:24" ht="30" customHeight="1">
      <c r="A4284" s="20"/>
      <c r="B4284" s="20"/>
      <c r="C4284" s="18"/>
      <c r="D4284" s="18"/>
      <c r="E4284" s="18"/>
      <c r="F4284" s="18"/>
      <c r="G4284" s="18"/>
      <c r="H4284" s="18"/>
      <c r="I4284" s="18"/>
      <c r="J4284" s="20" t="s">
        <v>289</v>
      </c>
      <c r="K4284" s="23">
        <f>+K4281*K4282/K4283</f>
        <v>264600.07042056078</v>
      </c>
      <c r="L4284" s="20" t="s">
        <v>10</v>
      </c>
      <c r="M4284" s="1146"/>
      <c r="N4284" s="1103"/>
      <c r="O4284" s="34"/>
      <c r="P4284" s="159"/>
      <c r="Q4284" s="147"/>
      <c r="R4284" s="149"/>
      <c r="S4284" s="59"/>
    </row>
    <row r="4285" spans="1:24" ht="30" customHeight="1" thickBot="1">
      <c r="A4285" s="20"/>
      <c r="B4285" s="20"/>
      <c r="C4285" s="18"/>
      <c r="D4285" s="18"/>
      <c r="E4285" s="18"/>
      <c r="F4285" s="18"/>
      <c r="G4285" s="160" t="s">
        <v>312</v>
      </c>
      <c r="H4285" s="18"/>
      <c r="I4285" s="18"/>
      <c r="J4285" s="139">
        <f>VLOOKUP(B4275,'Mil Cost Premiums for RUCs'!$A$4:$R$266,18,FALSE)</f>
        <v>1.1199953840399997</v>
      </c>
      <c r="K4285" s="23">
        <f>+K4284*J4285</f>
        <v>296350.85748768691</v>
      </c>
      <c r="L4285" s="20" t="s">
        <v>10</v>
      </c>
      <c r="M4285" s="1146"/>
      <c r="N4285" s="1103"/>
      <c r="O4285" s="34"/>
      <c r="P4285" s="159"/>
      <c r="Q4285" s="147"/>
      <c r="R4285" s="149"/>
      <c r="S4285" s="59"/>
    </row>
    <row r="4286" spans="1:24" ht="30" customHeight="1" thickBot="1">
      <c r="A4286" s="1165"/>
      <c r="B4286" s="1166"/>
      <c r="C4286" s="1166"/>
      <c r="D4286" s="1166"/>
      <c r="E4286" s="1166"/>
      <c r="F4286" s="1166"/>
      <c r="G4286" s="1166"/>
      <c r="H4286" s="1166"/>
      <c r="I4286" s="1166"/>
      <c r="J4286" s="1166"/>
      <c r="K4286" s="1166"/>
      <c r="L4286" s="1167"/>
      <c r="M4286" s="1146"/>
      <c r="N4286" s="1103"/>
      <c r="O4286"/>
      <c r="P4286" s="159"/>
      <c r="Q4286" s="147"/>
      <c r="R4286" s="149"/>
      <c r="S4286" s="59"/>
    </row>
    <row r="4287" spans="1:24" ht="30" customHeight="1">
      <c r="A4287" s="27" t="s">
        <v>280</v>
      </c>
      <c r="B4287" s="82">
        <v>8922</v>
      </c>
      <c r="C4287" s="1197" t="s">
        <v>2247</v>
      </c>
      <c r="D4287" s="1198"/>
      <c r="E4287" s="74" t="s">
        <v>282</v>
      </c>
      <c r="F4287" s="75" t="s">
        <v>10</v>
      </c>
      <c r="G4287" s="181" t="s">
        <v>281</v>
      </c>
      <c r="H4287" s="76">
        <v>1</v>
      </c>
      <c r="I4287" s="74" t="s">
        <v>283</v>
      </c>
      <c r="J4287" s="1199" t="s">
        <v>2529</v>
      </c>
      <c r="K4287" s="1199"/>
      <c r="L4287" s="1200"/>
      <c r="M4287" s="1146"/>
      <c r="N4287" s="803"/>
      <c r="O4287"/>
      <c r="P4287" s="283"/>
      <c r="Q4287" s="282"/>
      <c r="R4287" s="284"/>
    </row>
    <row r="4288" spans="1:24" ht="30" customHeight="1">
      <c r="A4288" s="37" t="s">
        <v>304</v>
      </c>
      <c r="B4288" s="1201" t="s">
        <v>330</v>
      </c>
      <c r="C4288" s="1202"/>
      <c r="D4288" s="1203"/>
      <c r="E4288" s="150" t="s">
        <v>295</v>
      </c>
      <c r="F4288" s="150" t="s">
        <v>331</v>
      </c>
      <c r="G4288" s="1204" t="s">
        <v>332</v>
      </c>
      <c r="H4288" s="1205"/>
      <c r="I4288" s="77" t="s">
        <v>305</v>
      </c>
      <c r="J4288" s="77"/>
      <c r="K4288" s="1303" t="s">
        <v>297</v>
      </c>
      <c r="L4288" s="1304"/>
      <c r="M4288" s="1146"/>
      <c r="N4288" s="803"/>
      <c r="O4288"/>
      <c r="P4288" s="283"/>
      <c r="Q4288" s="282"/>
      <c r="R4288" s="284"/>
    </row>
    <row r="4289" spans="1:24" ht="30" customHeight="1">
      <c r="A4289" s="45" t="s">
        <v>369</v>
      </c>
      <c r="B4289" s="1176" t="s">
        <v>2248</v>
      </c>
      <c r="C4289" s="1177"/>
      <c r="D4289" s="1178"/>
      <c r="E4289" s="335">
        <v>76500</v>
      </c>
      <c r="F4289" s="22"/>
      <c r="G4289" s="780"/>
      <c r="H4289" s="333"/>
      <c r="I4289" s="20">
        <v>1.08</v>
      </c>
      <c r="J4289" s="22"/>
      <c r="K4289" s="23">
        <f>+E4289*I4289</f>
        <v>82620</v>
      </c>
      <c r="L4289" s="22" t="s">
        <v>10</v>
      </c>
      <c r="M4289" s="1146"/>
      <c r="N4289" s="1103"/>
      <c r="O4289"/>
      <c r="P4289" s="159"/>
      <c r="Q4289" s="147"/>
      <c r="R4289" s="149"/>
      <c r="S4289" s="59"/>
    </row>
    <row r="4290" spans="1:24" ht="30" customHeight="1">
      <c r="A4290" s="45"/>
      <c r="B4290" s="157"/>
      <c r="C4290" s="157"/>
      <c r="D4290" s="157"/>
      <c r="E4290" s="153"/>
      <c r="F4290" s="1174" t="s">
        <v>308</v>
      </c>
      <c r="G4290" s="1208" t="s">
        <v>309</v>
      </c>
      <c r="H4290" s="1208"/>
      <c r="I4290" s="1208"/>
      <c r="J4290" s="1208"/>
      <c r="K4290" s="123">
        <v>1.06</v>
      </c>
      <c r="L4290" s="10"/>
      <c r="M4290" s="1146"/>
      <c r="N4290" s="1103"/>
      <c r="O4290"/>
      <c r="P4290" s="159"/>
      <c r="Q4290" s="147"/>
      <c r="R4290" s="149"/>
      <c r="S4290" s="59"/>
    </row>
    <row r="4291" spans="1:24" ht="30" customHeight="1">
      <c r="A4291" s="45"/>
      <c r="B4291" s="157"/>
      <c r="C4291" s="157"/>
      <c r="D4291" s="157"/>
      <c r="E4291" s="153"/>
      <c r="F4291" s="1175"/>
      <c r="G4291" s="1209" t="s">
        <v>2534</v>
      </c>
      <c r="H4291" s="1209"/>
      <c r="I4291" s="1209"/>
      <c r="J4291" s="1209"/>
      <c r="K4291" s="123">
        <v>1.07</v>
      </c>
      <c r="L4291" s="10"/>
      <c r="M4291" s="1146"/>
      <c r="N4291" s="1103"/>
      <c r="O4291"/>
      <c r="P4291" s="159"/>
      <c r="Q4291" s="147"/>
      <c r="R4291" s="149"/>
      <c r="S4291" s="59"/>
    </row>
    <row r="4292" spans="1:24" ht="30" customHeight="1">
      <c r="A4292" s="652"/>
      <c r="B4292" s="842"/>
      <c r="C4292" s="515"/>
      <c r="D4292" s="843"/>
      <c r="E4292" s="153"/>
      <c r="F4292" s="22"/>
      <c r="G4292" s="317"/>
      <c r="H4292" s="267"/>
      <c r="I4292" s="20"/>
      <c r="J4292" s="20" t="s">
        <v>289</v>
      </c>
      <c r="K4292" s="23">
        <f>+K4289*K4290/K4291</f>
        <v>81847.850467289725</v>
      </c>
      <c r="L4292" s="20" t="s">
        <v>10</v>
      </c>
      <c r="M4292" s="1146"/>
      <c r="N4292" s="1103"/>
      <c r="O4292"/>
      <c r="P4292" s="159"/>
      <c r="Q4292" s="147"/>
      <c r="R4292" s="149"/>
      <c r="S4292" s="59"/>
    </row>
    <row r="4293" spans="1:24" ht="30" customHeight="1" thickBot="1">
      <c r="A4293" s="45"/>
      <c r="B4293" s="20"/>
      <c r="C4293" s="18"/>
      <c r="D4293" s="18"/>
      <c r="E4293" s="18"/>
      <c r="F4293" s="18"/>
      <c r="G4293" s="160" t="s">
        <v>312</v>
      </c>
      <c r="H4293" s="18"/>
      <c r="I4293" s="18"/>
      <c r="J4293" s="139">
        <f>VLOOKUP(B4287,'Mil Cost Premiums for RUCs'!$A$4:$R$266,18,FALSE)</f>
        <v>1.0209999999999999</v>
      </c>
      <c r="K4293" s="23">
        <f>+K4292*J4293</f>
        <v>83566.655327102795</v>
      </c>
      <c r="L4293" s="20" t="s">
        <v>10</v>
      </c>
      <c r="M4293" s="1146"/>
      <c r="N4293" s="282"/>
      <c r="O4293"/>
      <c r="P4293" s="159"/>
      <c r="Q4293" s="147"/>
      <c r="R4293" s="149"/>
      <c r="S4293" s="59"/>
    </row>
    <row r="4294" spans="1:24" ht="30" customHeight="1" thickBot="1">
      <c r="A4294" s="1165"/>
      <c r="B4294" s="1166"/>
      <c r="C4294" s="1166"/>
      <c r="D4294" s="1166"/>
      <c r="E4294" s="1166"/>
      <c r="F4294" s="1166"/>
      <c r="G4294" s="1166"/>
      <c r="H4294" s="1166"/>
      <c r="I4294" s="1166"/>
      <c r="J4294" s="1166"/>
      <c r="K4294" s="1166"/>
      <c r="L4294" s="1167"/>
      <c r="M4294" s="1146"/>
      <c r="N4294" s="282"/>
      <c r="O4294"/>
      <c r="P4294" s="159"/>
      <c r="Q4294" s="147"/>
      <c r="R4294" s="149"/>
      <c r="S4294" s="59"/>
    </row>
    <row r="4295" spans="1:24" ht="30" customHeight="1">
      <c r="A4295" s="27" t="s">
        <v>280</v>
      </c>
      <c r="B4295" s="82">
        <v>8923</v>
      </c>
      <c r="C4295" s="1197" t="s">
        <v>2249</v>
      </c>
      <c r="D4295" s="1198"/>
      <c r="E4295" s="74" t="s">
        <v>282</v>
      </c>
      <c r="F4295" s="75" t="s">
        <v>10</v>
      </c>
      <c r="G4295" s="181" t="s">
        <v>281</v>
      </c>
      <c r="H4295" s="76">
        <v>1</v>
      </c>
      <c r="I4295" s="74" t="s">
        <v>283</v>
      </c>
      <c r="J4295" s="1199" t="s">
        <v>2529</v>
      </c>
      <c r="K4295" s="1199"/>
      <c r="L4295" s="1200"/>
      <c r="M4295" s="1146"/>
      <c r="N4295" s="1103"/>
      <c r="O4295"/>
      <c r="P4295" s="159"/>
      <c r="Q4295" s="147"/>
      <c r="R4295" s="149"/>
      <c r="S4295" s="59"/>
    </row>
    <row r="4296" spans="1:24" ht="30" customHeight="1">
      <c r="A4296" s="37" t="s">
        <v>304</v>
      </c>
      <c r="B4296" s="1201" t="s">
        <v>330</v>
      </c>
      <c r="C4296" s="1202"/>
      <c r="D4296" s="1203"/>
      <c r="E4296" s="150" t="s">
        <v>295</v>
      </c>
      <c r="F4296" s="150" t="s">
        <v>331</v>
      </c>
      <c r="G4296" s="1204" t="s">
        <v>332</v>
      </c>
      <c r="H4296" s="1205"/>
      <c r="I4296" s="77" t="s">
        <v>305</v>
      </c>
      <c r="J4296" s="77"/>
      <c r="K4296" s="1303" t="s">
        <v>297</v>
      </c>
      <c r="L4296" s="1304"/>
      <c r="M4296" s="1146"/>
      <c r="O4296"/>
      <c r="P4296" s="159"/>
      <c r="Q4296" s="147"/>
      <c r="R4296" s="149"/>
      <c r="S4296" s="59"/>
    </row>
    <row r="4297" spans="1:24" ht="30" customHeight="1">
      <c r="A4297" s="45" t="s">
        <v>2188</v>
      </c>
      <c r="B4297" s="1176" t="s">
        <v>2250</v>
      </c>
      <c r="C4297" s="1177"/>
      <c r="D4297" s="1178"/>
      <c r="E4297" s="335">
        <v>51250</v>
      </c>
      <c r="F4297" s="22" t="s">
        <v>10</v>
      </c>
      <c r="G4297" s="780"/>
      <c r="H4297" s="333"/>
      <c r="I4297" s="20">
        <v>1.08</v>
      </c>
      <c r="J4297" s="22"/>
      <c r="K4297" s="23">
        <f>+E4297*I4297</f>
        <v>55350.000000000007</v>
      </c>
      <c r="L4297" s="22" t="s">
        <v>10</v>
      </c>
      <c r="M4297" s="1146"/>
      <c r="O4297" s="743"/>
      <c r="P4297" s="159"/>
      <c r="Q4297" s="147"/>
      <c r="R4297" s="149"/>
      <c r="S4297" s="59"/>
    </row>
    <row r="4298" spans="1:24" ht="30" customHeight="1">
      <c r="A4298" s="45"/>
      <c r="B4298" s="157"/>
      <c r="C4298" s="157"/>
      <c r="D4298" s="157"/>
      <c r="E4298" s="153"/>
      <c r="F4298" s="1174" t="s">
        <v>308</v>
      </c>
      <c r="G4298" s="1208" t="s">
        <v>309</v>
      </c>
      <c r="H4298" s="1208"/>
      <c r="I4298" s="1208"/>
      <c r="J4298" s="1208"/>
      <c r="K4298" s="123">
        <v>1.03</v>
      </c>
      <c r="L4298" s="10"/>
      <c r="M4298" s="1146"/>
      <c r="P4298" s="159"/>
      <c r="Q4298" s="147"/>
      <c r="R4298" s="149"/>
      <c r="S4298" s="59"/>
    </row>
    <row r="4299" spans="1:24" ht="30" customHeight="1">
      <c r="A4299" s="45"/>
      <c r="B4299" s="157"/>
      <c r="C4299" s="157"/>
      <c r="D4299" s="157"/>
      <c r="E4299" s="153"/>
      <c r="F4299" s="1175"/>
      <c r="G4299" s="1209" t="s">
        <v>2534</v>
      </c>
      <c r="H4299" s="1209"/>
      <c r="I4299" s="1209"/>
      <c r="J4299" s="1209"/>
      <c r="K4299" s="123">
        <v>1.07</v>
      </c>
      <c r="L4299" s="10"/>
      <c r="M4299" s="1146"/>
      <c r="N4299" s="1103"/>
      <c r="P4299" s="159"/>
      <c r="Q4299" s="147"/>
      <c r="R4299" s="149"/>
      <c r="S4299" s="59"/>
      <c r="T4299" s="44"/>
      <c r="U4299" s="34"/>
    </row>
    <row r="4300" spans="1:24" ht="30" customHeight="1">
      <c r="A4300" s="652"/>
      <c r="B4300" s="842"/>
      <c r="C4300" s="515"/>
      <c r="D4300" s="843"/>
      <c r="E4300" s="153"/>
      <c r="F4300" s="22"/>
      <c r="G4300" s="317"/>
      <c r="H4300" s="267"/>
      <c r="I4300" s="20"/>
      <c r="J4300" s="20" t="s">
        <v>289</v>
      </c>
      <c r="K4300" s="23">
        <f>+K4297*K4298/K4299</f>
        <v>53280.84112149533</v>
      </c>
      <c r="L4300" s="20" t="s">
        <v>10</v>
      </c>
      <c r="M4300" s="1146"/>
      <c r="N4300" s="1100"/>
      <c r="P4300" s="441"/>
      <c r="Q4300" s="441"/>
      <c r="R4300" s="441"/>
      <c r="S4300" s="44"/>
      <c r="T4300" s="44"/>
      <c r="U4300" s="34"/>
    </row>
    <row r="4301" spans="1:24" ht="30" customHeight="1" thickBot="1">
      <c r="A4301" s="45"/>
      <c r="B4301" s="20"/>
      <c r="C4301" s="18"/>
      <c r="D4301" s="18"/>
      <c r="E4301" s="18"/>
      <c r="F4301" s="18"/>
      <c r="G4301" s="160" t="s">
        <v>312</v>
      </c>
      <c r="H4301" s="18"/>
      <c r="I4301" s="18"/>
      <c r="J4301" s="139">
        <f>VLOOKUP(B4295,'Mil Cost Premiums for RUCs'!$A$4:$R$266,18,FALSE)</f>
        <v>1.0240629999999997</v>
      </c>
      <c r="K4301" s="23">
        <f>+K4300*J4301</f>
        <v>54562.938001401861</v>
      </c>
      <c r="L4301" s="20" t="s">
        <v>10</v>
      </c>
      <c r="M4301" s="1146"/>
      <c r="N4301" s="1103"/>
      <c r="P4301" s="34"/>
      <c r="Q4301" s="34"/>
      <c r="R4301" s="34"/>
      <c r="S4301" s="44"/>
      <c r="T4301" s="44"/>
      <c r="U4301" s="441"/>
      <c r="V4301" s="59"/>
      <c r="W4301" s="59"/>
      <c r="X4301" s="59"/>
    </row>
    <row r="4302" spans="1:24" s="59" customFormat="1" ht="30" customHeight="1" thickBot="1">
      <c r="A4302" s="1165"/>
      <c r="B4302" s="1166"/>
      <c r="C4302" s="1166"/>
      <c r="D4302" s="1166"/>
      <c r="E4302" s="1166"/>
      <c r="F4302" s="1166"/>
      <c r="G4302" s="1166"/>
      <c r="H4302" s="1166"/>
      <c r="I4302" s="1166"/>
      <c r="J4302" s="1166"/>
      <c r="K4302" s="1166"/>
      <c r="L4302" s="1167"/>
      <c r="M4302" s="1146"/>
      <c r="N4302" s="1103"/>
      <c r="O4302" s="1119"/>
      <c r="P4302" s="34"/>
      <c r="Q4302" s="34"/>
      <c r="R4302" s="34"/>
      <c r="S4302" s="44"/>
      <c r="T4302" s="38"/>
      <c r="U4302" s="39"/>
      <c r="V4302" s="38"/>
      <c r="W4302" s="38"/>
      <c r="X4302" s="38"/>
    </row>
    <row r="4303" spans="1:24" s="38" customFormat="1" ht="30" customHeight="1">
      <c r="A4303" s="27" t="s">
        <v>280</v>
      </c>
      <c r="B4303" s="82">
        <v>8924</v>
      </c>
      <c r="C4303" s="144" t="s">
        <v>2251</v>
      </c>
      <c r="D4303" s="145"/>
      <c r="E4303" s="74" t="s">
        <v>282</v>
      </c>
      <c r="F4303" s="75" t="s">
        <v>10</v>
      </c>
      <c r="G4303" s="181" t="s">
        <v>281</v>
      </c>
      <c r="H4303" s="76">
        <v>1</v>
      </c>
      <c r="I4303" s="74" t="s">
        <v>283</v>
      </c>
      <c r="J4303" s="1199" t="s">
        <v>2529</v>
      </c>
      <c r="K4303" s="1199"/>
      <c r="L4303" s="1200"/>
      <c r="M4303" s="1146"/>
      <c r="N4303" s="1103"/>
      <c r="O4303" s="1119"/>
      <c r="T4303"/>
      <c r="U4303" s="34"/>
      <c r="V4303"/>
      <c r="W4303"/>
      <c r="X4303"/>
    </row>
    <row r="4304" spans="1:24" ht="30" customHeight="1">
      <c r="A4304" s="37" t="s">
        <v>293</v>
      </c>
      <c r="B4304" s="1201" t="s">
        <v>330</v>
      </c>
      <c r="C4304" s="1202"/>
      <c r="D4304" s="1203"/>
      <c r="E4304" s="150" t="s">
        <v>295</v>
      </c>
      <c r="F4304" s="150" t="s">
        <v>331</v>
      </c>
      <c r="G4304" s="1730" t="s">
        <v>332</v>
      </c>
      <c r="H4304" s="1730"/>
      <c r="I4304" s="77" t="s">
        <v>305</v>
      </c>
      <c r="J4304" s="77"/>
      <c r="K4304" s="1303" t="s">
        <v>297</v>
      </c>
      <c r="L4304" s="1304"/>
      <c r="M4304" s="1146"/>
      <c r="N4304" s="1103"/>
      <c r="U4304" s="34"/>
    </row>
    <row r="4305" spans="1:24" ht="30" customHeight="1">
      <c r="A4305" s="45" t="s">
        <v>1960</v>
      </c>
      <c r="B4305" s="1176" t="s">
        <v>2847</v>
      </c>
      <c r="C4305" s="1177"/>
      <c r="D4305" s="1178"/>
      <c r="E4305" s="153">
        <v>13100</v>
      </c>
      <c r="F4305" s="20" t="s">
        <v>10</v>
      </c>
      <c r="G4305" s="317"/>
      <c r="H4305" s="843"/>
      <c r="I4305" s="334">
        <v>1.06</v>
      </c>
      <c r="J4305" s="20"/>
      <c r="K4305" s="153">
        <f>+E4305*I4305</f>
        <v>13886</v>
      </c>
      <c r="L4305" s="20" t="s">
        <v>10</v>
      </c>
      <c r="M4305" s="1146"/>
      <c r="N4305" s="526"/>
      <c r="O4305" s="743"/>
      <c r="T4305" s="44"/>
    </row>
    <row r="4306" spans="1:24" ht="30" customHeight="1">
      <c r="A4306" s="45" t="s">
        <v>482</v>
      </c>
      <c r="B4306" s="1176" t="s">
        <v>2848</v>
      </c>
      <c r="C4306" s="1177"/>
      <c r="D4306" s="1178"/>
      <c r="E4306" s="331">
        <v>27</v>
      </c>
      <c r="F4306" s="22" t="s">
        <v>209</v>
      </c>
      <c r="G4306" s="521">
        <v>64</v>
      </c>
      <c r="H4306" s="333" t="s">
        <v>917</v>
      </c>
      <c r="I4306" s="20">
        <v>1.07</v>
      </c>
      <c r="J4306" s="20"/>
      <c r="K4306" s="153">
        <f>+E4306*I4306</f>
        <v>28.89</v>
      </c>
      <c r="L4306" s="22" t="s">
        <v>10</v>
      </c>
      <c r="M4306" s="1146"/>
      <c r="N4306" s="1103"/>
      <c r="O4306" s="743"/>
      <c r="P4306" s="34"/>
      <c r="Q4306" s="34"/>
      <c r="R4306" s="34"/>
      <c r="S4306" s="44"/>
      <c r="T4306" s="44"/>
    </row>
    <row r="4307" spans="1:24" ht="30" customHeight="1">
      <c r="A4307" s="45"/>
      <c r="B4307" s="20"/>
      <c r="C4307" s="18"/>
      <c r="D4307" s="18"/>
      <c r="E4307" s="18"/>
      <c r="F4307" s="18"/>
      <c r="G4307" s="18"/>
      <c r="H4307" s="18"/>
      <c r="I4307" s="18"/>
      <c r="J4307" s="18" t="s">
        <v>346</v>
      </c>
      <c r="K4307" s="23">
        <f>SUM(K4305:K4306)</f>
        <v>13914.89</v>
      </c>
      <c r="L4307" s="20" t="s">
        <v>10</v>
      </c>
      <c r="M4307" s="1146"/>
      <c r="N4307" s="1103"/>
      <c r="O4307" s="743"/>
      <c r="P4307" s="34"/>
      <c r="Q4307" s="34"/>
      <c r="R4307" s="34"/>
      <c r="S4307" s="44"/>
      <c r="T4307" s="44"/>
      <c r="U4307" s="34"/>
    </row>
    <row r="4308" spans="1:24" ht="30" customHeight="1">
      <c r="A4308" s="45"/>
      <c r="B4308" s="157"/>
      <c r="C4308" s="157"/>
      <c r="D4308" s="157"/>
      <c r="E4308" s="153"/>
      <c r="F4308" s="1174" t="s">
        <v>308</v>
      </c>
      <c r="G4308" s="1208" t="s">
        <v>309</v>
      </c>
      <c r="H4308" s="1208"/>
      <c r="I4308" s="1208"/>
      <c r="J4308" s="1208"/>
      <c r="K4308" s="123">
        <v>1.06</v>
      </c>
      <c r="L4308" s="10"/>
      <c r="M4308" s="1146"/>
      <c r="N4308" s="226"/>
      <c r="P4308" s="441"/>
      <c r="Q4308" s="441"/>
      <c r="R4308" s="441"/>
      <c r="S4308" s="44"/>
      <c r="T4308" s="44"/>
      <c r="U4308" s="34"/>
    </row>
    <row r="4309" spans="1:24" ht="30" customHeight="1">
      <c r="A4309" s="45"/>
      <c r="B4309" s="157"/>
      <c r="C4309" s="157"/>
      <c r="D4309" s="157"/>
      <c r="E4309" s="153"/>
      <c r="F4309" s="1175"/>
      <c r="G4309" s="1209" t="s">
        <v>2534</v>
      </c>
      <c r="H4309" s="1209"/>
      <c r="I4309" s="1209"/>
      <c r="J4309" s="1209"/>
      <c r="K4309" s="123">
        <v>1.07</v>
      </c>
      <c r="L4309" s="10"/>
      <c r="M4309" s="1146"/>
      <c r="N4309" s="193"/>
      <c r="P4309" s="441"/>
      <c r="Q4309" s="441"/>
      <c r="R4309" s="441"/>
      <c r="S4309" s="44"/>
      <c r="T4309" s="44"/>
      <c r="U4309" s="441"/>
      <c r="V4309" s="59"/>
      <c r="W4309" s="59"/>
      <c r="X4309" s="59"/>
    </row>
    <row r="4310" spans="1:24" s="59" customFormat="1" ht="30" customHeight="1">
      <c r="A4310" s="45"/>
      <c r="B4310" s="20"/>
      <c r="C4310" s="18"/>
      <c r="D4310" s="18"/>
      <c r="E4310" s="18"/>
      <c r="F4310" s="18"/>
      <c r="G4310" s="18"/>
      <c r="H4310" s="18"/>
      <c r="I4310" s="18"/>
      <c r="J4310" s="18" t="s">
        <v>289</v>
      </c>
      <c r="K4310" s="23">
        <f>+K4307*K4308/K4309</f>
        <v>13784.84429906542</v>
      </c>
      <c r="L4310" s="20" t="s">
        <v>10</v>
      </c>
      <c r="M4310" s="1146"/>
      <c r="N4310" s="25"/>
      <c r="O4310" s="1119"/>
      <c r="P4310" s="441"/>
      <c r="Q4310" s="441"/>
      <c r="R4310" s="441"/>
      <c r="S4310" s="44"/>
      <c r="T4310" s="84"/>
      <c r="U4310" s="759"/>
      <c r="V4310" s="760"/>
      <c r="W4310" s="760"/>
      <c r="X4310" s="760"/>
    </row>
    <row r="4311" spans="1:24" s="760" customFormat="1" ht="30" customHeight="1" thickBot="1">
      <c r="A4311" s="45"/>
      <c r="B4311" s="45"/>
      <c r="C4311" s="46"/>
      <c r="D4311" s="46"/>
      <c r="E4311" s="46"/>
      <c r="F4311" s="46"/>
      <c r="G4311" s="176" t="s">
        <v>312</v>
      </c>
      <c r="H4311" s="46"/>
      <c r="I4311" s="46"/>
      <c r="J4311" s="178">
        <f>VLOOKUP(B4303,'Mil Cost Premiums for RUCs'!$A$4:$R$266,18,FALSE)</f>
        <v>1.0240629999999997</v>
      </c>
      <c r="K4311" s="21">
        <f>+K4310*J4311</f>
        <v>14116.549007433827</v>
      </c>
      <c r="L4311" s="45" t="s">
        <v>10</v>
      </c>
      <c r="M4311" s="1146"/>
      <c r="N4311" s="25"/>
      <c r="O4311" s="1119"/>
      <c r="P4311" s="39"/>
      <c r="Q4311" s="39"/>
      <c r="R4311" s="39"/>
      <c r="S4311" s="84"/>
      <c r="T4311" s="44"/>
      <c r="U4311" s="441"/>
      <c r="V4311" s="59"/>
      <c r="W4311" s="59"/>
      <c r="X4311" s="59"/>
    </row>
    <row r="4312" spans="1:24" s="59" customFormat="1" ht="30" customHeight="1" thickBot="1">
      <c r="A4312" s="1165"/>
      <c r="B4312" s="1166"/>
      <c r="C4312" s="1166"/>
      <c r="D4312" s="1166"/>
      <c r="E4312" s="1166"/>
      <c r="F4312" s="1166"/>
      <c r="G4312" s="1166"/>
      <c r="H4312" s="1166"/>
      <c r="I4312" s="1166"/>
      <c r="J4312" s="1166"/>
      <c r="K4312" s="1166"/>
      <c r="L4312" s="1167"/>
      <c r="M4312" s="1146"/>
      <c r="N4312" s="25"/>
      <c r="O4312" s="1119"/>
      <c r="P4312" s="34"/>
      <c r="Q4312" s="34"/>
      <c r="R4312" s="34"/>
      <c r="S4312" s="44"/>
      <c r="T4312"/>
      <c r="U4312" s="34"/>
      <c r="V4312"/>
      <c r="W4312"/>
      <c r="X4312"/>
    </row>
    <row r="4313" spans="1:24" ht="30" customHeight="1">
      <c r="A4313" s="108" t="s">
        <v>280</v>
      </c>
      <c r="B4313" s="109">
        <v>8926</v>
      </c>
      <c r="C4313" s="1239" t="s">
        <v>2252</v>
      </c>
      <c r="D4313" s="1240"/>
      <c r="E4313" s="110" t="s">
        <v>282</v>
      </c>
      <c r="F4313" s="111" t="s">
        <v>10</v>
      </c>
      <c r="G4313" s="844" t="s">
        <v>281</v>
      </c>
      <c r="H4313" s="845">
        <v>1</v>
      </c>
      <c r="I4313" s="110" t="s">
        <v>283</v>
      </c>
      <c r="J4313" s="1199" t="s">
        <v>2529</v>
      </c>
      <c r="K4313" s="1199"/>
      <c r="L4313" s="1200"/>
      <c r="M4313" s="1146"/>
      <c r="O4313"/>
      <c r="T4313" s="44"/>
    </row>
    <row r="4314" spans="1:24" ht="30" customHeight="1">
      <c r="A4314" s="294" t="s">
        <v>304</v>
      </c>
      <c r="B4314" s="1324" t="s">
        <v>330</v>
      </c>
      <c r="C4314" s="1325"/>
      <c r="D4314" s="1326"/>
      <c r="E4314" s="219" t="s">
        <v>295</v>
      </c>
      <c r="F4314" s="219" t="s">
        <v>331</v>
      </c>
      <c r="G4314" s="1327" t="s">
        <v>332</v>
      </c>
      <c r="H4314" s="1328"/>
      <c r="I4314" s="167" t="s">
        <v>305</v>
      </c>
      <c r="J4314" s="167"/>
      <c r="K4314" s="1303" t="s">
        <v>297</v>
      </c>
      <c r="L4314" s="1304"/>
      <c r="M4314" s="1146"/>
      <c r="O4314"/>
      <c r="P4314" s="34"/>
      <c r="Q4314" s="34"/>
      <c r="R4314" s="34"/>
      <c r="S4314" s="44"/>
      <c r="T4314" s="44"/>
    </row>
    <row r="4315" spans="1:24" ht="30" customHeight="1">
      <c r="A4315" s="294"/>
      <c r="B4315" s="846" t="s">
        <v>2253</v>
      </c>
      <c r="C4315" s="847"/>
      <c r="D4315" s="233"/>
      <c r="E4315" s="219"/>
      <c r="F4315" s="219"/>
      <c r="G4315" s="507"/>
      <c r="H4315" s="508"/>
      <c r="I4315" s="794"/>
      <c r="J4315" s="167"/>
      <c r="K4315" s="219"/>
      <c r="L4315" s="219"/>
      <c r="M4315" s="1146"/>
      <c r="O4315"/>
      <c r="P4315" s="34"/>
      <c r="Q4315" s="34"/>
      <c r="R4315" s="34"/>
      <c r="S4315" s="44"/>
      <c r="T4315" s="59"/>
      <c r="U4315" s="59"/>
      <c r="V4315" s="59"/>
      <c r="W4315" s="59"/>
      <c r="X4315" s="59"/>
    </row>
    <row r="4316" spans="1:24" s="59" customFormat="1" ht="30" customHeight="1">
      <c r="A4316" s="24" t="s">
        <v>2254</v>
      </c>
      <c r="B4316" s="1285" t="s">
        <v>2255</v>
      </c>
      <c r="C4316" s="1286"/>
      <c r="D4316" s="1287"/>
      <c r="E4316" s="295">
        <v>42.14</v>
      </c>
      <c r="F4316" s="5" t="s">
        <v>8</v>
      </c>
      <c r="G4316" s="296">
        <v>5000</v>
      </c>
      <c r="H4316" s="297" t="s">
        <v>334</v>
      </c>
      <c r="I4316" s="118">
        <v>1.05</v>
      </c>
      <c r="J4316" s="10"/>
      <c r="K4316" s="848">
        <f>+E4316*G4316*I4316</f>
        <v>221235</v>
      </c>
      <c r="L4316" s="10" t="s">
        <v>10</v>
      </c>
      <c r="M4316" s="1146"/>
      <c r="N4316" s="226"/>
      <c r="O4316" s="38"/>
      <c r="P4316" s="159"/>
      <c r="Q4316" s="147"/>
      <c r="R4316" s="149"/>
      <c r="S4316"/>
      <c r="T4316"/>
      <c r="U4316"/>
      <c r="V4316"/>
      <c r="W4316"/>
      <c r="X4316"/>
    </row>
    <row r="4317" spans="1:24" ht="30" customHeight="1">
      <c r="A4317" s="849" t="s">
        <v>398</v>
      </c>
      <c r="B4317" s="1162" t="s">
        <v>2852</v>
      </c>
      <c r="C4317" s="1163"/>
      <c r="D4317" s="1164"/>
      <c r="E4317" s="299">
        <f>+(720+1060)/2</f>
        <v>890</v>
      </c>
      <c r="F4317" s="5" t="s">
        <v>2256</v>
      </c>
      <c r="G4317" s="296">
        <v>100</v>
      </c>
      <c r="H4317" s="801" t="s">
        <v>2257</v>
      </c>
      <c r="I4317" s="118">
        <v>1.04</v>
      </c>
      <c r="J4317" s="10"/>
      <c r="K4317" s="848">
        <f>+E4317*G4317*I4317</f>
        <v>92560</v>
      </c>
      <c r="L4317" s="5"/>
      <c r="M4317" s="1146"/>
      <c r="N4317" s="637"/>
      <c r="O4317"/>
      <c r="P4317" s="159"/>
      <c r="Q4317" s="147"/>
      <c r="R4317" s="149"/>
    </row>
    <row r="4318" spans="1:24" ht="30" customHeight="1">
      <c r="A4318" s="849" t="s">
        <v>377</v>
      </c>
      <c r="B4318" s="1162" t="s">
        <v>2258</v>
      </c>
      <c r="C4318" s="1163"/>
      <c r="D4318" s="1164"/>
      <c r="E4318" s="299">
        <v>3.4</v>
      </c>
      <c r="F4318" s="5" t="s">
        <v>1573</v>
      </c>
      <c r="G4318" s="296">
        <v>1.1499999999999999</v>
      </c>
      <c r="H4318" s="801" t="s">
        <v>2259</v>
      </c>
      <c r="I4318" s="118">
        <v>1.05</v>
      </c>
      <c r="J4318" s="10"/>
      <c r="K4318" s="848">
        <f>5000*E4318*G4318*I4318</f>
        <v>20527.5</v>
      </c>
      <c r="L4318" s="5"/>
      <c r="M4318" s="1146"/>
      <c r="N4318" s="226"/>
      <c r="O4318"/>
      <c r="P4318" s="159"/>
      <c r="Q4318" s="147"/>
      <c r="R4318" s="149"/>
      <c r="T4318" s="38"/>
      <c r="U4318" s="38"/>
      <c r="V4318" s="38"/>
      <c r="W4318" s="38"/>
      <c r="X4318" s="38"/>
    </row>
    <row r="4319" spans="1:24" s="38" customFormat="1" ht="30" customHeight="1">
      <c r="A4319" s="849" t="s">
        <v>395</v>
      </c>
      <c r="B4319" s="1162" t="s">
        <v>2849</v>
      </c>
      <c r="C4319" s="1163"/>
      <c r="D4319" s="1164"/>
      <c r="E4319" s="299">
        <f>+(19.15+29.75)/2</f>
        <v>24.45</v>
      </c>
      <c r="F4319" s="5" t="s">
        <v>1238</v>
      </c>
      <c r="G4319" s="296">
        <v>81</v>
      </c>
      <c r="H4319" s="801"/>
      <c r="I4319" s="118">
        <v>1.06</v>
      </c>
      <c r="J4319" s="10"/>
      <c r="K4319" s="848">
        <f t="shared" ref="K4319:K4324" si="64">+E4319*G4319*I4319</f>
        <v>2099.277</v>
      </c>
      <c r="L4319" s="5"/>
      <c r="M4319" s="1146"/>
      <c r="N4319" s="25"/>
      <c r="O4319"/>
      <c r="P4319" s="159"/>
      <c r="Q4319" s="147"/>
      <c r="R4319" s="149"/>
      <c r="T4319"/>
      <c r="U4319"/>
      <c r="V4319"/>
      <c r="W4319"/>
      <c r="X4319"/>
    </row>
    <row r="4320" spans="1:24" ht="30" customHeight="1">
      <c r="A4320" s="849" t="s">
        <v>395</v>
      </c>
      <c r="B4320" s="1162" t="s">
        <v>1090</v>
      </c>
      <c r="C4320" s="1163"/>
      <c r="D4320" s="1164"/>
      <c r="E4320" s="299">
        <f>+(1610+2450)/2</f>
        <v>2030</v>
      </c>
      <c r="F4320" s="5" t="s">
        <v>2260</v>
      </c>
      <c r="G4320" s="296">
        <v>1</v>
      </c>
      <c r="H4320" s="801"/>
      <c r="I4320" s="118">
        <v>1.06</v>
      </c>
      <c r="J4320" s="10"/>
      <c r="K4320" s="848">
        <f t="shared" si="64"/>
        <v>2151.8000000000002</v>
      </c>
      <c r="L4320" s="5"/>
      <c r="M4320" s="1146"/>
      <c r="O4320"/>
      <c r="P4320" s="159"/>
      <c r="Q4320" s="147"/>
      <c r="R4320" s="149"/>
    </row>
    <row r="4321" spans="1:24" ht="30" customHeight="1">
      <c r="A4321" s="849" t="s">
        <v>398</v>
      </c>
      <c r="B4321" s="1162" t="s">
        <v>2850</v>
      </c>
      <c r="C4321" s="1163"/>
      <c r="D4321" s="1164"/>
      <c r="E4321" s="299">
        <f>+(31.5+75)/2</f>
        <v>53.25</v>
      </c>
      <c r="F4321" s="5" t="s">
        <v>6</v>
      </c>
      <c r="G4321" s="296">
        <v>10</v>
      </c>
      <c r="H4321" s="801"/>
      <c r="I4321" s="118">
        <v>1.04</v>
      </c>
      <c r="J4321" s="10"/>
      <c r="K4321" s="848">
        <f t="shared" si="64"/>
        <v>553.80000000000007</v>
      </c>
      <c r="L4321" s="5"/>
      <c r="M4321" s="1146"/>
      <c r="O4321"/>
      <c r="P4321" s="159"/>
      <c r="Q4321" s="147"/>
      <c r="R4321" s="149"/>
      <c r="T4321" s="59"/>
      <c r="U4321" s="59"/>
      <c r="V4321" s="59"/>
      <c r="W4321" s="59"/>
      <c r="X4321" s="59"/>
    </row>
    <row r="4322" spans="1:24" s="59" customFormat="1" ht="30" customHeight="1">
      <c r="A4322" s="849" t="s">
        <v>398</v>
      </c>
      <c r="B4322" s="1162" t="s">
        <v>401</v>
      </c>
      <c r="C4322" s="1163"/>
      <c r="D4322" s="1164"/>
      <c r="E4322" s="299">
        <f>+(5900+11300)/2</f>
        <v>8600</v>
      </c>
      <c r="F4322" s="5" t="s">
        <v>2260</v>
      </c>
      <c r="G4322" s="296">
        <v>1</v>
      </c>
      <c r="H4322" s="801"/>
      <c r="I4322" s="118">
        <v>1.04</v>
      </c>
      <c r="J4322" s="10"/>
      <c r="K4322" s="848">
        <f t="shared" si="64"/>
        <v>8944</v>
      </c>
      <c r="L4322" s="5"/>
      <c r="M4322" s="1146"/>
      <c r="N4322" s="25"/>
      <c r="O4322" s="34"/>
      <c r="P4322" s="148"/>
      <c r="Q4322" s="41"/>
      <c r="R4322" s="149"/>
      <c r="S4322"/>
    </row>
    <row r="4323" spans="1:24" s="59" customFormat="1" ht="30" customHeight="1">
      <c r="A4323" s="849" t="s">
        <v>398</v>
      </c>
      <c r="B4323" s="1285" t="s">
        <v>2851</v>
      </c>
      <c r="C4323" s="1286"/>
      <c r="D4323" s="1287"/>
      <c r="E4323" s="299">
        <f>+(605+925)/2</f>
        <v>765</v>
      </c>
      <c r="F4323" s="5" t="s">
        <v>2260</v>
      </c>
      <c r="G4323" s="296">
        <v>1</v>
      </c>
      <c r="H4323" s="801"/>
      <c r="I4323" s="118">
        <v>1.04</v>
      </c>
      <c r="J4323" s="10"/>
      <c r="K4323" s="848">
        <f t="shared" si="64"/>
        <v>795.6</v>
      </c>
      <c r="L4323" s="5"/>
      <c r="M4323" s="1146"/>
      <c r="N4323" s="25"/>
      <c r="O4323" s="34"/>
      <c r="P4323" s="148"/>
      <c r="Q4323" s="41"/>
      <c r="R4323" s="149"/>
      <c r="S4323"/>
    </row>
    <row r="4324" spans="1:24" s="59" customFormat="1" ht="30" customHeight="1">
      <c r="A4324" s="849" t="s">
        <v>398</v>
      </c>
      <c r="B4324" s="1162" t="s">
        <v>403</v>
      </c>
      <c r="C4324" s="1163"/>
      <c r="D4324" s="1164"/>
      <c r="E4324" s="299">
        <f>+(1060+3175)/2</f>
        <v>2117.5</v>
      </c>
      <c r="F4324" s="5" t="s">
        <v>2260</v>
      </c>
      <c r="G4324" s="296">
        <v>1</v>
      </c>
      <c r="H4324" s="801"/>
      <c r="I4324" s="118">
        <v>1.04</v>
      </c>
      <c r="J4324" s="10"/>
      <c r="K4324" s="848">
        <f t="shared" si="64"/>
        <v>2202.2000000000003</v>
      </c>
      <c r="L4324" s="5"/>
      <c r="M4324" s="1146"/>
      <c r="N4324" s="1103"/>
      <c r="O4324"/>
      <c r="P4324" s="148"/>
      <c r="Q4324" s="41"/>
      <c r="R4324" s="149"/>
      <c r="S4324"/>
      <c r="T4324"/>
      <c r="U4324"/>
      <c r="V4324"/>
      <c r="W4324"/>
      <c r="X4324"/>
    </row>
    <row r="4325" spans="1:24" ht="30" customHeight="1">
      <c r="A4325" s="47"/>
      <c r="B4325" s="1731" t="s">
        <v>2261</v>
      </c>
      <c r="C4325" s="1732"/>
      <c r="D4325" s="1733"/>
      <c r="E4325" s="13"/>
      <c r="F4325" s="13"/>
      <c r="G4325" s="13"/>
      <c r="H4325" s="13"/>
      <c r="I4325" s="118"/>
      <c r="J4325" s="10"/>
      <c r="K4325" s="799"/>
      <c r="L4325" s="13"/>
      <c r="M4325" s="1146"/>
      <c r="N4325" s="1103"/>
      <c r="O4325"/>
      <c r="P4325" s="283"/>
      <c r="Q4325" s="282"/>
      <c r="R4325" s="284"/>
    </row>
    <row r="4326" spans="1:24" ht="30" customHeight="1">
      <c r="A4326" s="24" t="s">
        <v>398</v>
      </c>
      <c r="B4326" s="1282" t="s">
        <v>2262</v>
      </c>
      <c r="C4326" s="1283"/>
      <c r="D4326" s="1284"/>
      <c r="E4326" s="14">
        <f>+(1080+1900)/2</f>
        <v>1490</v>
      </c>
      <c r="F4326" s="10" t="s">
        <v>10</v>
      </c>
      <c r="G4326" s="13">
        <v>1</v>
      </c>
      <c r="H4326" s="13" t="s">
        <v>10</v>
      </c>
      <c r="I4326" s="118">
        <v>1.04</v>
      </c>
      <c r="J4326" s="10"/>
      <c r="K4326" s="799">
        <f>+E4326*G4326*I4326</f>
        <v>1549.6000000000001</v>
      </c>
      <c r="L4326" s="13"/>
      <c r="M4326" s="1146"/>
      <c r="N4326" s="1103"/>
      <c r="O4326"/>
      <c r="P4326" s="283"/>
      <c r="Q4326" s="282"/>
      <c r="R4326" s="284"/>
    </row>
    <row r="4327" spans="1:24" ht="30" customHeight="1">
      <c r="A4327" s="24" t="s">
        <v>398</v>
      </c>
      <c r="B4327" s="1282" t="s">
        <v>2263</v>
      </c>
      <c r="C4327" s="1283"/>
      <c r="D4327" s="1284"/>
      <c r="E4327" s="14">
        <f>+(860+1210)/2</f>
        <v>1035</v>
      </c>
      <c r="F4327" s="10" t="s">
        <v>10</v>
      </c>
      <c r="G4327" s="13">
        <v>1</v>
      </c>
      <c r="H4327" s="13" t="s">
        <v>10</v>
      </c>
      <c r="I4327" s="118">
        <v>1.04</v>
      </c>
      <c r="J4327" s="10"/>
      <c r="K4327" s="799">
        <f>+E4327*G4327*I4327</f>
        <v>1076.4000000000001</v>
      </c>
      <c r="L4327" s="13"/>
      <c r="M4327" s="1146"/>
      <c r="N4327" s="1103"/>
      <c r="O4327" s="743"/>
      <c r="P4327" s="148"/>
      <c r="Q4327" s="41"/>
      <c r="R4327" s="149"/>
      <c r="S4327" s="59"/>
    </row>
    <row r="4328" spans="1:24" ht="30" customHeight="1">
      <c r="A4328" s="47"/>
      <c r="B4328" s="1329"/>
      <c r="C4328" s="1329"/>
      <c r="D4328" s="1329"/>
      <c r="E4328" s="115"/>
      <c r="F4328" s="10"/>
      <c r="G4328" s="10"/>
      <c r="H4328" s="10"/>
      <c r="I4328" s="118"/>
      <c r="J4328" s="10" t="s">
        <v>379</v>
      </c>
      <c r="K4328" s="799">
        <f>SUM(K4316:K4327)</f>
        <v>353695.17699999997</v>
      </c>
      <c r="L4328" s="10" t="s">
        <v>10</v>
      </c>
      <c r="M4328" s="1146"/>
      <c r="N4328" s="1103"/>
      <c r="P4328" s="148"/>
      <c r="Q4328" s="41"/>
      <c r="R4328" s="149"/>
      <c r="S4328" s="59"/>
    </row>
    <row r="4329" spans="1:24" ht="30" customHeight="1">
      <c r="A4329" s="45"/>
      <c r="B4329" s="157"/>
      <c r="C4329" s="157"/>
      <c r="D4329" s="157"/>
      <c r="E4329" s="153"/>
      <c r="F4329" s="1174" t="s">
        <v>308</v>
      </c>
      <c r="G4329" s="1208" t="s">
        <v>309</v>
      </c>
      <c r="H4329" s="1208"/>
      <c r="I4329" s="1208"/>
      <c r="J4329" s="1208"/>
      <c r="K4329" s="123">
        <v>1.06</v>
      </c>
      <c r="L4329" s="10"/>
      <c r="M4329" s="1146"/>
      <c r="N4329" s="1103"/>
      <c r="P4329" s="148"/>
      <c r="Q4329" s="41"/>
      <c r="R4329" s="149"/>
      <c r="S4329" s="59"/>
      <c r="T4329" s="44"/>
      <c r="U4329" s="441"/>
      <c r="V4329" s="59"/>
      <c r="W4329" s="59"/>
      <c r="X4329" s="59"/>
    </row>
    <row r="4330" spans="1:24" s="59" customFormat="1" ht="30" customHeight="1">
      <c r="A4330" s="45"/>
      <c r="B4330" s="157"/>
      <c r="C4330" s="157"/>
      <c r="D4330" s="157"/>
      <c r="E4330" s="153"/>
      <c r="F4330" s="1175"/>
      <c r="G4330" s="1209" t="s">
        <v>2534</v>
      </c>
      <c r="H4330" s="1209"/>
      <c r="I4330" s="1209"/>
      <c r="J4330" s="1209"/>
      <c r="K4330" s="123">
        <v>1.07</v>
      </c>
      <c r="L4330" s="10"/>
      <c r="M4330" s="1146"/>
      <c r="N4330" s="1103"/>
      <c r="O4330" s="1119"/>
      <c r="P4330" s="441"/>
      <c r="Q4330" s="441"/>
      <c r="R4330" s="441"/>
      <c r="S4330" s="44"/>
      <c r="T4330" s="84"/>
      <c r="U4330" s="759"/>
      <c r="V4330" s="760"/>
      <c r="W4330" s="760"/>
      <c r="X4330" s="760"/>
    </row>
    <row r="4331" spans="1:24" s="760" customFormat="1" ht="30" customHeight="1">
      <c r="A4331" s="47"/>
      <c r="B4331" s="24"/>
      <c r="C4331" s="47"/>
      <c r="D4331" s="47"/>
      <c r="E4331" s="47"/>
      <c r="F4331" s="47"/>
      <c r="G4331" s="47"/>
      <c r="H4331" s="47"/>
      <c r="I4331" s="88"/>
      <c r="J4331" s="24" t="s">
        <v>289</v>
      </c>
      <c r="K4331" s="850">
        <f>+K4328*K4329/K4330</f>
        <v>350389.61459813081</v>
      </c>
      <c r="L4331" s="24" t="s">
        <v>10</v>
      </c>
      <c r="M4331" s="1146"/>
      <c r="N4331" s="282"/>
      <c r="O4331" s="1119"/>
      <c r="P4331" s="39"/>
      <c r="Q4331" s="39"/>
      <c r="R4331" s="39"/>
      <c r="S4331" s="84"/>
      <c r="T4331"/>
      <c r="U4331" s="34"/>
      <c r="V4331"/>
      <c r="W4331"/>
      <c r="X4331"/>
    </row>
    <row r="4332" spans="1:24" ht="30" customHeight="1">
      <c r="A4332" s="47"/>
      <c r="B4332" s="24"/>
      <c r="C4332" s="47"/>
      <c r="D4332" s="47"/>
      <c r="E4332" s="47"/>
      <c r="F4332" s="47"/>
      <c r="G4332" s="306" t="s">
        <v>385</v>
      </c>
      <c r="H4332" s="47"/>
      <c r="I4332" s="88"/>
      <c r="J4332" s="178">
        <f>VLOOKUP(B4313,'Mil Cost Premiums for RUCs'!$A$4:$R$266,18,FALSE)</f>
        <v>1.0517127009999996</v>
      </c>
      <c r="K4332" s="850">
        <f>+K4331*J4332</f>
        <v>368509.20797134901</v>
      </c>
      <c r="L4332" s="24" t="s">
        <v>10</v>
      </c>
      <c r="M4332" s="1146"/>
      <c r="N4332" s="282"/>
      <c r="O4332"/>
      <c r="T4332" s="44"/>
    </row>
    <row r="4333" spans="1:24" ht="60" customHeight="1">
      <c r="A4333" s="1337" t="s">
        <v>313</v>
      </c>
      <c r="B4333" s="1338"/>
      <c r="C4333" s="1338"/>
      <c r="D4333" s="1338"/>
      <c r="E4333" s="1338"/>
      <c r="F4333" s="1338"/>
      <c r="G4333" s="1338"/>
      <c r="H4333" s="1338"/>
      <c r="I4333" s="1338"/>
      <c r="J4333" s="1338"/>
      <c r="K4333" s="1338"/>
      <c r="L4333" s="1339"/>
      <c r="M4333" s="1146"/>
      <c r="N4333" s="526"/>
      <c r="O4333"/>
      <c r="P4333" s="34"/>
      <c r="Q4333" s="34"/>
      <c r="R4333" s="34"/>
      <c r="S4333" s="44"/>
      <c r="T4333" s="44"/>
    </row>
    <row r="4334" spans="1:24" ht="30" customHeight="1">
      <c r="A4334" s="1406" t="s">
        <v>314</v>
      </c>
      <c r="B4334" s="1407"/>
      <c r="C4334" s="1408"/>
      <c r="D4334" s="1337" t="s">
        <v>2264</v>
      </c>
      <c r="E4334" s="1338"/>
      <c r="F4334" s="1338"/>
      <c r="G4334" s="1338"/>
      <c r="H4334" s="1338"/>
      <c r="I4334" s="1338"/>
      <c r="J4334" s="1338"/>
      <c r="K4334" s="1338"/>
      <c r="L4334" s="1339"/>
      <c r="M4334" s="1146"/>
      <c r="N4334" s="1103"/>
      <c r="O4334"/>
      <c r="P4334" s="34"/>
      <c r="Q4334" s="34"/>
      <c r="R4334" s="34"/>
      <c r="S4334" s="44"/>
      <c r="T4334" s="59"/>
      <c r="U4334" s="59"/>
      <c r="V4334" s="59"/>
      <c r="W4334" s="59"/>
      <c r="X4334" s="59"/>
    </row>
    <row r="4335" spans="1:24" s="59" customFormat="1" ht="30" customHeight="1">
      <c r="A4335" s="1406" t="s">
        <v>316</v>
      </c>
      <c r="B4335" s="1407"/>
      <c r="C4335" s="1408"/>
      <c r="D4335" s="1337" t="s">
        <v>2265</v>
      </c>
      <c r="E4335" s="1338"/>
      <c r="F4335" s="1338"/>
      <c r="G4335" s="1338"/>
      <c r="H4335" s="1338"/>
      <c r="I4335" s="1338"/>
      <c r="J4335" s="1338"/>
      <c r="K4335" s="1338"/>
      <c r="L4335" s="1339"/>
      <c r="M4335" s="1146"/>
      <c r="N4335" s="1103"/>
      <c r="O4335" s="38"/>
      <c r="P4335" s="159"/>
      <c r="Q4335" s="147"/>
      <c r="R4335" s="149"/>
      <c r="S4335"/>
      <c r="T4335"/>
      <c r="U4335"/>
      <c r="V4335"/>
      <c r="W4335"/>
      <c r="X4335"/>
    </row>
    <row r="4336" spans="1:24" ht="30" customHeight="1">
      <c r="A4336" s="1406" t="s">
        <v>317</v>
      </c>
      <c r="B4336" s="1407"/>
      <c r="C4336" s="1408"/>
      <c r="D4336" s="1337" t="s">
        <v>2266</v>
      </c>
      <c r="E4336" s="1338"/>
      <c r="F4336" s="1338"/>
      <c r="G4336" s="1338"/>
      <c r="H4336" s="1338"/>
      <c r="I4336" s="1338"/>
      <c r="J4336" s="1338"/>
      <c r="K4336" s="1338"/>
      <c r="L4336" s="1339"/>
      <c r="M4336" s="1146"/>
      <c r="N4336" s="1103"/>
      <c r="O4336"/>
      <c r="P4336" s="159"/>
      <c r="Q4336" s="147"/>
      <c r="R4336" s="149"/>
    </row>
    <row r="4337" spans="1:24" ht="30" customHeight="1">
      <c r="A4337" s="1406" t="s">
        <v>318</v>
      </c>
      <c r="B4337" s="1407"/>
      <c r="C4337" s="1408"/>
      <c r="D4337" s="1337" t="s">
        <v>2267</v>
      </c>
      <c r="E4337" s="1338"/>
      <c r="F4337" s="1338"/>
      <c r="G4337" s="1338"/>
      <c r="H4337" s="1338"/>
      <c r="I4337" s="1338"/>
      <c r="J4337" s="1338"/>
      <c r="K4337" s="1338"/>
      <c r="L4337" s="1339"/>
      <c r="M4337" s="1146"/>
      <c r="N4337" s="1103"/>
      <c r="O4337"/>
      <c r="P4337" s="148"/>
      <c r="Q4337" s="41"/>
      <c r="R4337" s="149"/>
      <c r="T4337" s="38"/>
      <c r="U4337" s="38"/>
      <c r="V4337" s="38"/>
      <c r="W4337" s="38"/>
      <c r="X4337" s="38"/>
    </row>
    <row r="4338" spans="1:24" s="38" customFormat="1" ht="30" customHeight="1">
      <c r="A4338" s="1406" t="s">
        <v>320</v>
      </c>
      <c r="B4338" s="1407"/>
      <c r="C4338" s="1408"/>
      <c r="D4338" s="1337" t="s">
        <v>2268</v>
      </c>
      <c r="E4338" s="1338"/>
      <c r="F4338" s="1338"/>
      <c r="G4338" s="1338"/>
      <c r="H4338" s="1338"/>
      <c r="I4338" s="1338"/>
      <c r="J4338" s="1338"/>
      <c r="K4338" s="1338"/>
      <c r="L4338" s="1339"/>
      <c r="M4338" s="1146"/>
      <c r="N4338" s="226"/>
      <c r="O4338"/>
      <c r="P4338" s="148"/>
      <c r="Q4338" s="41"/>
      <c r="R4338" s="149"/>
      <c r="T4338" s="59"/>
      <c r="U4338" s="59"/>
      <c r="V4338" s="59"/>
      <c r="W4338" s="59"/>
      <c r="X4338" s="59"/>
    </row>
    <row r="4339" spans="1:24" s="59" customFormat="1" ht="30" customHeight="1">
      <c r="A4339" s="1406" t="s">
        <v>322</v>
      </c>
      <c r="B4339" s="1407"/>
      <c r="C4339" s="1408"/>
      <c r="D4339" s="1337" t="s">
        <v>1891</v>
      </c>
      <c r="E4339" s="1338"/>
      <c r="F4339" s="1338"/>
      <c r="G4339" s="1338"/>
      <c r="H4339" s="1338"/>
      <c r="I4339" s="1338"/>
      <c r="J4339" s="1338"/>
      <c r="K4339" s="1338"/>
      <c r="L4339" s="1339"/>
      <c r="M4339" s="1146"/>
      <c r="N4339" s="25"/>
      <c r="O4339" s="34"/>
      <c r="P4339" s="148"/>
      <c r="Q4339" s="41"/>
      <c r="R4339" s="149"/>
      <c r="S4339"/>
    </row>
    <row r="4340" spans="1:24" s="59" customFormat="1" ht="30" customHeight="1">
      <c r="A4340" s="1406" t="s">
        <v>324</v>
      </c>
      <c r="B4340" s="1407"/>
      <c r="C4340" s="1408"/>
      <c r="D4340" s="1337" t="s">
        <v>2269</v>
      </c>
      <c r="E4340" s="1338"/>
      <c r="F4340" s="1338"/>
      <c r="G4340" s="1338"/>
      <c r="H4340" s="1338"/>
      <c r="I4340" s="1338"/>
      <c r="J4340" s="1338"/>
      <c r="K4340" s="1338"/>
      <c r="L4340" s="1339"/>
      <c r="M4340" s="1146"/>
      <c r="N4340" s="25"/>
      <c r="O4340" s="34"/>
      <c r="P4340" s="159"/>
      <c r="Q4340" s="147"/>
      <c r="R4340" s="149"/>
    </row>
    <row r="4341" spans="1:24" s="59" customFormat="1" ht="60" customHeight="1">
      <c r="A4341" s="1406" t="s">
        <v>325</v>
      </c>
      <c r="B4341" s="1407"/>
      <c r="C4341" s="1408"/>
      <c r="D4341" s="1270" t="s">
        <v>928</v>
      </c>
      <c r="E4341" s="1371"/>
      <c r="F4341" s="1371"/>
      <c r="G4341" s="1371"/>
      <c r="H4341" s="1371"/>
      <c r="I4341" s="1371"/>
      <c r="J4341" s="1371"/>
      <c r="K4341" s="1371"/>
      <c r="L4341" s="1372"/>
      <c r="M4341" s="1146"/>
      <c r="N4341" s="25"/>
      <c r="O4341"/>
      <c r="P4341" s="159"/>
      <c r="Q4341" s="147"/>
      <c r="R4341" s="149"/>
      <c r="T4341"/>
      <c r="U4341"/>
      <c r="V4341"/>
      <c r="W4341"/>
      <c r="X4341"/>
    </row>
    <row r="4342" spans="1:24" ht="90" customHeight="1" thickBot="1">
      <c r="A4342" s="1602" t="s">
        <v>327</v>
      </c>
      <c r="B4342" s="1603"/>
      <c r="C4342" s="1604"/>
      <c r="D4342" s="1336" t="s">
        <v>2912</v>
      </c>
      <c r="E4342" s="1315"/>
      <c r="F4342" s="1315"/>
      <c r="G4342" s="1315"/>
      <c r="H4342" s="1315"/>
      <c r="I4342" s="1315"/>
      <c r="J4342" s="1315"/>
      <c r="K4342" s="1315"/>
      <c r="L4342" s="1316"/>
      <c r="M4342" s="1146"/>
      <c r="O4342"/>
      <c r="P4342" s="283"/>
      <c r="Q4342" s="282"/>
      <c r="R4342" s="284"/>
    </row>
    <row r="4343" spans="1:24" ht="30" customHeight="1" thickBot="1">
      <c r="A4343" s="1165"/>
      <c r="B4343" s="1166"/>
      <c r="C4343" s="1166"/>
      <c r="D4343" s="1166"/>
      <c r="E4343" s="1166"/>
      <c r="F4343" s="1166"/>
      <c r="G4343" s="1166"/>
      <c r="H4343" s="1166"/>
      <c r="I4343" s="1166"/>
      <c r="J4343" s="1166"/>
      <c r="K4343" s="1166"/>
      <c r="L4343" s="1167"/>
      <c r="M4343" s="1146"/>
      <c r="N4343" s="1103"/>
      <c r="O4343" s="59"/>
      <c r="P4343" s="283"/>
      <c r="Q4343" s="282"/>
      <c r="R4343" s="284"/>
    </row>
    <row r="4344" spans="1:24" ht="30" customHeight="1">
      <c r="A4344" s="27" t="s">
        <v>280</v>
      </c>
      <c r="B4344" s="82">
        <v>8927</v>
      </c>
      <c r="C4344" s="1197" t="s">
        <v>2270</v>
      </c>
      <c r="D4344" s="1198"/>
      <c r="E4344" s="74" t="s">
        <v>282</v>
      </c>
      <c r="F4344" s="75" t="s">
        <v>10</v>
      </c>
      <c r="G4344" s="181" t="s">
        <v>281</v>
      </c>
      <c r="H4344" s="76">
        <v>1</v>
      </c>
      <c r="I4344" s="74" t="s">
        <v>283</v>
      </c>
      <c r="J4344" s="1199" t="s">
        <v>2529</v>
      </c>
      <c r="K4344" s="1199"/>
      <c r="L4344" s="1200"/>
      <c r="M4344" s="1146"/>
      <c r="N4344" s="1103"/>
      <c r="O4344" s="59"/>
      <c r="P4344" s="159"/>
      <c r="Q4344" s="147"/>
      <c r="R4344" s="149"/>
      <c r="S4344" s="59"/>
    </row>
    <row r="4345" spans="1:24" ht="30" customHeight="1">
      <c r="A4345" s="37" t="s">
        <v>304</v>
      </c>
      <c r="B4345" s="1201" t="s">
        <v>330</v>
      </c>
      <c r="C4345" s="1202"/>
      <c r="D4345" s="1203"/>
      <c r="E4345" s="150" t="s">
        <v>295</v>
      </c>
      <c r="F4345" s="150" t="s">
        <v>331</v>
      </c>
      <c r="G4345" s="1204" t="s">
        <v>332</v>
      </c>
      <c r="H4345" s="1205"/>
      <c r="I4345" s="77" t="s">
        <v>305</v>
      </c>
      <c r="J4345" s="77"/>
      <c r="K4345" s="1303" t="s">
        <v>297</v>
      </c>
      <c r="L4345" s="1304"/>
      <c r="M4345" s="1146"/>
      <c r="N4345" s="1103"/>
      <c r="O4345" s="760"/>
      <c r="P4345" s="159"/>
      <c r="Q4345" s="147"/>
      <c r="R4345" s="149"/>
    </row>
    <row r="4346" spans="1:24" ht="30" customHeight="1">
      <c r="A4346" s="45" t="s">
        <v>482</v>
      </c>
      <c r="B4346" s="1176" t="s">
        <v>2853</v>
      </c>
      <c r="C4346" s="1177"/>
      <c r="D4346" s="1178"/>
      <c r="E4346" s="331">
        <v>27</v>
      </c>
      <c r="F4346" s="22" t="s">
        <v>209</v>
      </c>
      <c r="G4346" s="521">
        <v>900</v>
      </c>
      <c r="H4346" s="333" t="s">
        <v>917</v>
      </c>
      <c r="I4346" s="20">
        <v>1.07</v>
      </c>
      <c r="J4346" s="20"/>
      <c r="K4346" s="349">
        <f>+E4346*G4346*I4346</f>
        <v>26001</v>
      </c>
      <c r="L4346" s="22" t="s">
        <v>10</v>
      </c>
      <c r="M4346" s="1146"/>
      <c r="N4346" s="1103"/>
      <c r="O4346"/>
      <c r="P4346" s="308"/>
      <c r="Q4346" s="307"/>
      <c r="R4346" s="309"/>
    </row>
    <row r="4347" spans="1:24" ht="30" customHeight="1">
      <c r="A4347" s="45"/>
      <c r="B4347" s="1179" t="s">
        <v>2854</v>
      </c>
      <c r="C4347" s="1180"/>
      <c r="D4347" s="1181"/>
      <c r="E4347" s="335"/>
      <c r="F4347" s="22"/>
      <c r="G4347" s="521"/>
      <c r="H4347" s="333"/>
      <c r="I4347" s="20"/>
      <c r="J4347" s="20"/>
      <c r="K4347" s="349"/>
      <c r="L4347" s="22"/>
      <c r="M4347" s="1146"/>
      <c r="N4347" s="1103"/>
      <c r="O4347"/>
      <c r="P4347" s="308"/>
      <c r="Q4347" s="307"/>
      <c r="R4347" s="309"/>
      <c r="T4347" s="38"/>
      <c r="U4347" s="38"/>
      <c r="V4347" s="38"/>
      <c r="W4347" s="38"/>
      <c r="X4347" s="38"/>
    </row>
    <row r="4348" spans="1:24" s="38" customFormat="1" ht="30" customHeight="1">
      <c r="A4348" s="46"/>
      <c r="B4348" s="1267"/>
      <c r="C4348" s="1267"/>
      <c r="D4348" s="1267"/>
      <c r="E4348" s="153"/>
      <c r="F4348" s="20"/>
      <c r="G4348" s="20"/>
      <c r="H4348" s="20"/>
      <c r="I4348" s="20"/>
      <c r="J4348" s="20" t="s">
        <v>346</v>
      </c>
      <c r="K4348" s="353">
        <f>SUM(K4346:K4347)</f>
        <v>26001</v>
      </c>
      <c r="L4348" s="20" t="s">
        <v>10</v>
      </c>
      <c r="M4348" s="1146"/>
      <c r="N4348" s="282"/>
      <c r="O4348"/>
      <c r="P4348" s="308"/>
      <c r="Q4348" s="307"/>
      <c r="R4348" s="309"/>
      <c r="T4348"/>
      <c r="U4348"/>
      <c r="V4348"/>
      <c r="W4348"/>
      <c r="X4348"/>
    </row>
    <row r="4349" spans="1:24" ht="30" customHeight="1">
      <c r="A4349" s="45"/>
      <c r="B4349" s="157"/>
      <c r="C4349" s="157"/>
      <c r="D4349" s="157"/>
      <c r="E4349" s="153"/>
      <c r="F4349" s="1174" t="s">
        <v>308</v>
      </c>
      <c r="G4349" s="1208" t="s">
        <v>309</v>
      </c>
      <c r="H4349" s="1208"/>
      <c r="I4349" s="1208"/>
      <c r="J4349" s="1208"/>
      <c r="K4349" s="123">
        <v>1.06</v>
      </c>
      <c r="L4349" s="10"/>
      <c r="M4349" s="1146"/>
      <c r="N4349" s="282"/>
      <c r="O4349"/>
      <c r="P4349" s="159"/>
      <c r="Q4349" s="147"/>
      <c r="R4349" s="149"/>
    </row>
    <row r="4350" spans="1:24" ht="30" customHeight="1">
      <c r="A4350" s="45"/>
      <c r="B4350" s="157"/>
      <c r="C4350" s="157"/>
      <c r="D4350" s="157"/>
      <c r="E4350" s="153"/>
      <c r="F4350" s="1175"/>
      <c r="G4350" s="1209" t="s">
        <v>2534</v>
      </c>
      <c r="H4350" s="1209"/>
      <c r="I4350" s="1209"/>
      <c r="J4350" s="1209"/>
      <c r="K4350" s="123">
        <v>1.07</v>
      </c>
      <c r="L4350" s="10"/>
      <c r="M4350" s="1146"/>
      <c r="N4350" s="1103"/>
      <c r="O4350" s="34"/>
      <c r="P4350" s="159"/>
      <c r="Q4350" s="147"/>
      <c r="R4350" s="149"/>
      <c r="S4350" s="59"/>
    </row>
    <row r="4351" spans="1:24" ht="30" customHeight="1">
      <c r="A4351" s="46"/>
      <c r="B4351" s="20"/>
      <c r="C4351" s="18"/>
      <c r="D4351" s="18"/>
      <c r="E4351" s="18"/>
      <c r="F4351" s="18"/>
      <c r="G4351" s="18"/>
      <c r="H4351" s="18"/>
      <c r="I4351" s="18"/>
      <c r="J4351" s="20" t="s">
        <v>289</v>
      </c>
      <c r="K4351" s="23">
        <f>+K4348*K4349/K4350</f>
        <v>25758</v>
      </c>
      <c r="L4351" s="20" t="s">
        <v>10</v>
      </c>
      <c r="M4351" s="1146"/>
      <c r="N4351" s="1103"/>
      <c r="O4351" s="34"/>
      <c r="P4351" s="159"/>
      <c r="Q4351" s="147"/>
      <c r="R4351" s="149"/>
      <c r="S4351" s="59"/>
    </row>
    <row r="4352" spans="1:24" ht="30" customHeight="1" thickBot="1">
      <c r="A4352" s="45"/>
      <c r="B4352" s="20"/>
      <c r="C4352" s="18"/>
      <c r="D4352" s="18"/>
      <c r="E4352" s="18"/>
      <c r="F4352" s="18"/>
      <c r="G4352" s="160" t="s">
        <v>312</v>
      </c>
      <c r="H4352" s="18"/>
      <c r="I4352" s="18"/>
      <c r="J4352" s="139">
        <f>VLOOKUP(B4344,'Mil Cost Premiums for RUCs'!$A$4:$R$266,18,FALSE)</f>
        <v>1.0209999999999999</v>
      </c>
      <c r="K4352" s="23">
        <f>+K4351*J4352</f>
        <v>26298.917999999998</v>
      </c>
      <c r="L4352" s="20" t="s">
        <v>10</v>
      </c>
      <c r="M4352" s="1146"/>
      <c r="N4352" s="1103"/>
      <c r="O4352" s="59"/>
      <c r="P4352" s="159"/>
      <c r="Q4352" s="147"/>
      <c r="R4352" s="149"/>
      <c r="S4352" s="59"/>
    </row>
    <row r="4353" spans="1:24" ht="30" customHeight="1" thickBot="1">
      <c r="A4353" s="1165"/>
      <c r="B4353" s="1166"/>
      <c r="C4353" s="1166"/>
      <c r="D4353" s="1166"/>
      <c r="E4353" s="1166"/>
      <c r="F4353" s="1166"/>
      <c r="G4353" s="1166"/>
      <c r="H4353" s="1166"/>
      <c r="I4353" s="1166"/>
      <c r="J4353" s="1166"/>
      <c r="K4353" s="1166"/>
      <c r="L4353" s="1167"/>
      <c r="M4353" s="1146"/>
      <c r="N4353" s="1103"/>
      <c r="O4353" s="743"/>
      <c r="P4353" s="283"/>
      <c r="Q4353" s="282"/>
      <c r="R4353" s="284"/>
    </row>
    <row r="4354" spans="1:24" ht="30" customHeight="1">
      <c r="A4354" s="27" t="s">
        <v>280</v>
      </c>
      <c r="B4354" s="82">
        <v>8928</v>
      </c>
      <c r="C4354" s="1197" t="s">
        <v>2271</v>
      </c>
      <c r="D4354" s="1198"/>
      <c r="E4354" s="74" t="s">
        <v>282</v>
      </c>
      <c r="F4354" s="75" t="s">
        <v>10</v>
      </c>
      <c r="G4354" s="181" t="s">
        <v>281</v>
      </c>
      <c r="H4354" s="76">
        <v>1</v>
      </c>
      <c r="I4354" s="74" t="s">
        <v>283</v>
      </c>
      <c r="J4354" s="1199" t="s">
        <v>2529</v>
      </c>
      <c r="K4354" s="1199"/>
      <c r="L4354" s="1200"/>
      <c r="M4354" s="1146"/>
      <c r="N4354" s="803"/>
      <c r="O4354" s="743"/>
      <c r="P4354" s="283"/>
      <c r="Q4354" s="282"/>
      <c r="R4354" s="284"/>
    </row>
    <row r="4355" spans="1:24" ht="30" customHeight="1">
      <c r="A4355" s="37" t="s">
        <v>304</v>
      </c>
      <c r="B4355" s="1201" t="s">
        <v>330</v>
      </c>
      <c r="C4355" s="1202"/>
      <c r="D4355" s="1203"/>
      <c r="E4355" s="150" t="s">
        <v>295</v>
      </c>
      <c r="F4355" s="150" t="s">
        <v>331</v>
      </c>
      <c r="G4355" s="1204" t="s">
        <v>332</v>
      </c>
      <c r="H4355" s="1205"/>
      <c r="I4355" s="77" t="s">
        <v>305</v>
      </c>
      <c r="J4355" s="77"/>
      <c r="K4355" s="1303" t="s">
        <v>297</v>
      </c>
      <c r="L4355" s="1304"/>
      <c r="M4355" s="1146"/>
      <c r="N4355" s="803"/>
      <c r="O4355" s="743"/>
      <c r="P4355" s="308"/>
      <c r="Q4355" s="307"/>
      <c r="R4355" s="309"/>
      <c r="T4355" s="44"/>
      <c r="U4355" s="34"/>
    </row>
    <row r="4356" spans="1:24" ht="30" customHeight="1">
      <c r="A4356" s="45" t="s">
        <v>1066</v>
      </c>
      <c r="B4356" s="1176" t="s">
        <v>2272</v>
      </c>
      <c r="C4356" s="1177"/>
      <c r="D4356" s="1178"/>
      <c r="E4356" s="331">
        <f>+(40.2+58.58)/2</f>
        <v>49.39</v>
      </c>
      <c r="F4356" s="22" t="s">
        <v>8</v>
      </c>
      <c r="G4356" s="521">
        <v>360</v>
      </c>
      <c r="H4356" s="333" t="s">
        <v>334</v>
      </c>
      <c r="I4356" s="20">
        <v>1.05</v>
      </c>
      <c r="J4356" s="20"/>
      <c r="K4356" s="349">
        <f>+E4356*G4356*I4356</f>
        <v>18669.420000000002</v>
      </c>
      <c r="L4356" s="22" t="s">
        <v>10</v>
      </c>
      <c r="M4356" s="1146"/>
      <c r="N4356" s="803"/>
      <c r="P4356" s="441"/>
      <c r="Q4356" s="441"/>
      <c r="R4356" s="441"/>
      <c r="S4356" s="44"/>
      <c r="T4356" s="44"/>
      <c r="U4356" s="34"/>
    </row>
    <row r="4357" spans="1:24" ht="30" customHeight="1">
      <c r="A4357" s="45"/>
      <c r="B4357" s="1179" t="s">
        <v>2855</v>
      </c>
      <c r="C4357" s="1180"/>
      <c r="D4357" s="1181"/>
      <c r="E4357" s="153"/>
      <c r="F4357" s="1174" t="s">
        <v>308</v>
      </c>
      <c r="G4357" s="1208" t="s">
        <v>309</v>
      </c>
      <c r="H4357" s="1208"/>
      <c r="I4357" s="1208"/>
      <c r="J4357" s="1208"/>
      <c r="K4357" s="123">
        <v>1.06</v>
      </c>
      <c r="L4357" s="10"/>
      <c r="M4357" s="1146"/>
      <c r="N4357" s="1103"/>
      <c r="P4357" s="441"/>
      <c r="Q4357" s="441"/>
      <c r="R4357" s="441"/>
      <c r="S4357" s="44"/>
      <c r="T4357" s="44"/>
      <c r="U4357" s="441"/>
      <c r="V4357" s="59"/>
      <c r="W4357" s="59"/>
      <c r="X4357" s="59"/>
    </row>
    <row r="4358" spans="1:24" s="59" customFormat="1" ht="30" customHeight="1">
      <c r="A4358" s="45"/>
      <c r="B4358" s="157"/>
      <c r="C4358" s="157"/>
      <c r="D4358" s="157"/>
      <c r="E4358" s="153"/>
      <c r="F4358" s="1175"/>
      <c r="G4358" s="1209" t="s">
        <v>2534</v>
      </c>
      <c r="H4358" s="1209"/>
      <c r="I4358" s="1209"/>
      <c r="J4358" s="1209"/>
      <c r="K4358" s="123">
        <v>1.07</v>
      </c>
      <c r="L4358" s="10"/>
      <c r="M4358" s="1146"/>
      <c r="N4358" s="1103"/>
      <c r="O4358" s="1119"/>
      <c r="P4358" s="441"/>
      <c r="Q4358" s="441"/>
      <c r="R4358" s="441"/>
      <c r="S4358" s="44"/>
      <c r="T4358" s="84"/>
      <c r="U4358" s="759"/>
      <c r="V4358" s="760"/>
      <c r="W4358" s="760"/>
      <c r="X4358" s="760"/>
    </row>
    <row r="4359" spans="1:24" s="760" customFormat="1" ht="30" customHeight="1">
      <c r="A4359" s="46"/>
      <c r="B4359" s="1179"/>
      <c r="C4359" s="1180"/>
      <c r="D4359" s="1181"/>
      <c r="E4359" s="153"/>
      <c r="F4359" s="22"/>
      <c r="G4359" s="317"/>
      <c r="H4359" s="267"/>
      <c r="I4359" s="20"/>
      <c r="J4359" s="20" t="s">
        <v>289</v>
      </c>
      <c r="K4359" s="353">
        <f>+K4356*K4357/K4358</f>
        <v>18494.939439252335</v>
      </c>
      <c r="L4359" s="22" t="s">
        <v>10</v>
      </c>
      <c r="M4359" s="1146"/>
      <c r="N4359" s="282"/>
      <c r="O4359" s="1119"/>
      <c r="P4359" s="39"/>
      <c r="Q4359" s="39"/>
      <c r="R4359" s="39"/>
      <c r="S4359" s="84"/>
      <c r="T4359"/>
      <c r="U4359" s="34"/>
      <c r="V4359"/>
      <c r="W4359"/>
      <c r="X4359"/>
    </row>
    <row r="4360" spans="1:24" ht="30" customHeight="1" thickBot="1">
      <c r="A4360" s="45"/>
      <c r="B4360" s="20"/>
      <c r="C4360" s="18"/>
      <c r="D4360" s="18"/>
      <c r="E4360" s="18"/>
      <c r="F4360" s="18"/>
      <c r="G4360" s="160" t="s">
        <v>312</v>
      </c>
      <c r="H4360" s="18"/>
      <c r="I4360" s="18"/>
      <c r="J4360" s="139">
        <f>VLOOKUP(B4354,'Mil Cost Premiums for RUCs'!$A$4:$R$266,18,FALSE)</f>
        <v>1.0209999999999999</v>
      </c>
      <c r="K4360" s="23">
        <f>+K4359*J4360</f>
        <v>18883.333167476634</v>
      </c>
      <c r="L4360" s="20" t="s">
        <v>10</v>
      </c>
      <c r="M4360" s="1146"/>
      <c r="N4360" s="282"/>
      <c r="O4360"/>
      <c r="T4360" s="44"/>
    </row>
    <row r="4361" spans="1:24" ht="30" customHeight="1" thickBot="1">
      <c r="A4361" s="1165"/>
      <c r="B4361" s="1166"/>
      <c r="C4361" s="1166"/>
      <c r="D4361" s="1166"/>
      <c r="E4361" s="1166"/>
      <c r="F4361" s="1166"/>
      <c r="G4361" s="1166"/>
      <c r="H4361" s="1166"/>
      <c r="I4361" s="1166"/>
      <c r="J4361" s="1166"/>
      <c r="K4361" s="1166"/>
      <c r="L4361" s="1167"/>
      <c r="M4361" s="1146"/>
      <c r="N4361" s="1103"/>
      <c r="O4361"/>
      <c r="P4361" s="34"/>
      <c r="Q4361" s="34"/>
      <c r="R4361" s="34"/>
      <c r="S4361" s="44"/>
      <c r="T4361" s="44"/>
    </row>
    <row r="4362" spans="1:24" ht="30" customHeight="1">
      <c r="A4362" s="27" t="s">
        <v>280</v>
      </c>
      <c r="B4362" s="82">
        <v>8930</v>
      </c>
      <c r="C4362" s="1197" t="s">
        <v>2273</v>
      </c>
      <c r="D4362" s="1198"/>
      <c r="E4362" s="74" t="s">
        <v>282</v>
      </c>
      <c r="F4362" s="75" t="s">
        <v>6</v>
      </c>
      <c r="G4362" s="58" t="s">
        <v>290</v>
      </c>
      <c r="H4362" s="76">
        <v>6991</v>
      </c>
      <c r="I4362" s="74" t="s">
        <v>283</v>
      </c>
      <c r="J4362" s="1199" t="s">
        <v>2529</v>
      </c>
      <c r="K4362" s="1199"/>
      <c r="L4362" s="1200"/>
      <c r="M4362" s="1146"/>
      <c r="N4362" s="1103"/>
      <c r="O4362" s="743"/>
      <c r="P4362" s="34"/>
      <c r="Q4362" s="34"/>
      <c r="R4362" s="34"/>
      <c r="S4362" s="44"/>
      <c r="T4362" s="59"/>
      <c r="U4362" s="59"/>
      <c r="V4362" s="59"/>
      <c r="W4362" s="59"/>
      <c r="X4362" s="59"/>
    </row>
    <row r="4363" spans="1:24" s="59" customFormat="1" ht="30" customHeight="1">
      <c r="A4363" s="37" t="s">
        <v>304</v>
      </c>
      <c r="B4363" s="1201" t="s">
        <v>330</v>
      </c>
      <c r="C4363" s="1202"/>
      <c r="D4363" s="1203"/>
      <c r="E4363" s="150" t="s">
        <v>295</v>
      </c>
      <c r="F4363" s="150" t="s">
        <v>331</v>
      </c>
      <c r="G4363" s="1204" t="s">
        <v>332</v>
      </c>
      <c r="H4363" s="1205"/>
      <c r="I4363" s="77" t="s">
        <v>305</v>
      </c>
      <c r="J4363" s="77"/>
      <c r="K4363" s="1303" t="s">
        <v>297</v>
      </c>
      <c r="L4363" s="1304"/>
      <c r="M4363" s="1146"/>
      <c r="N4363" s="803"/>
      <c r="O4363" s="743"/>
      <c r="P4363" s="159"/>
      <c r="Q4363" s="147"/>
      <c r="R4363" s="149"/>
      <c r="S4363"/>
      <c r="T4363"/>
      <c r="U4363"/>
      <c r="V4363"/>
      <c r="W4363"/>
      <c r="X4363"/>
    </row>
    <row r="4364" spans="1:24" ht="30" customHeight="1">
      <c r="A4364" s="45" t="s">
        <v>342</v>
      </c>
      <c r="B4364" s="1179" t="s">
        <v>2856</v>
      </c>
      <c r="C4364" s="1180"/>
      <c r="D4364" s="1181"/>
      <c r="E4364" s="331">
        <v>18.39</v>
      </c>
      <c r="F4364" s="22" t="s">
        <v>6</v>
      </c>
      <c r="G4364" s="521"/>
      <c r="H4364" s="333"/>
      <c r="I4364" s="20">
        <v>1.05</v>
      </c>
      <c r="J4364" s="20"/>
      <c r="K4364" s="349">
        <f>+E4364*I4364</f>
        <v>19.3095</v>
      </c>
      <c r="L4364" s="22" t="s">
        <v>6</v>
      </c>
      <c r="M4364" s="1146"/>
      <c r="N4364" s="226"/>
      <c r="O4364" s="743"/>
      <c r="P4364" s="159"/>
      <c r="Q4364" s="147"/>
      <c r="R4364" s="149"/>
      <c r="T4364" s="44"/>
      <c r="U4364" s="34"/>
    </row>
    <row r="4365" spans="1:24" ht="30" customHeight="1">
      <c r="A4365" s="45" t="s">
        <v>342</v>
      </c>
      <c r="B4365" s="1179" t="s">
        <v>2857</v>
      </c>
      <c r="C4365" s="1180"/>
      <c r="D4365" s="1181"/>
      <c r="E4365" s="335">
        <v>18.170000000000002</v>
      </c>
      <c r="F4365" s="22" t="s">
        <v>6</v>
      </c>
      <c r="G4365" s="521"/>
      <c r="H4365" s="333"/>
      <c r="I4365" s="20">
        <v>1.05</v>
      </c>
      <c r="J4365" s="20"/>
      <c r="K4365" s="349">
        <f>+E4365*I4365</f>
        <v>19.078500000000002</v>
      </c>
      <c r="L4365" s="22" t="s">
        <v>6</v>
      </c>
      <c r="M4365" s="1146"/>
      <c r="N4365" s="637"/>
      <c r="P4365" s="441"/>
      <c r="Q4365" s="441"/>
      <c r="R4365" s="441"/>
      <c r="S4365" s="44"/>
      <c r="T4365" s="84"/>
      <c r="U4365" s="759"/>
      <c r="V4365" s="760"/>
      <c r="W4365" s="760"/>
      <c r="X4365" s="760"/>
    </row>
    <row r="4366" spans="1:24" s="760" customFormat="1" ht="30" customHeight="1">
      <c r="A4366" s="46"/>
      <c r="B4366" s="1267"/>
      <c r="C4366" s="1267"/>
      <c r="D4366" s="1267"/>
      <c r="E4366" s="153"/>
      <c r="F4366" s="20"/>
      <c r="G4366" s="20"/>
      <c r="H4366" s="20"/>
      <c r="I4366" s="20"/>
      <c r="J4366" s="20" t="s">
        <v>311</v>
      </c>
      <c r="K4366" s="353">
        <f>AVERAGE(K4364:K4365)</f>
        <v>19.194000000000003</v>
      </c>
      <c r="L4366" s="20" t="s">
        <v>6</v>
      </c>
      <c r="M4366" s="1146"/>
      <c r="N4366" s="226"/>
      <c r="O4366" s="1119"/>
      <c r="P4366" s="759"/>
      <c r="Q4366" s="759"/>
      <c r="R4366" s="759"/>
      <c r="S4366" s="84"/>
      <c r="T4366" s="44"/>
      <c r="U4366" s="441"/>
      <c r="V4366" s="59"/>
      <c r="W4366" s="59"/>
      <c r="X4366" s="59"/>
    </row>
    <row r="4367" spans="1:24" s="59" customFormat="1" ht="30" customHeight="1">
      <c r="A4367" s="45"/>
      <c r="B4367" s="1179"/>
      <c r="C4367" s="1180"/>
      <c r="D4367" s="1181"/>
      <c r="E4367" s="153"/>
      <c r="F4367" s="1174" t="s">
        <v>308</v>
      </c>
      <c r="G4367" s="1208" t="s">
        <v>309</v>
      </c>
      <c r="H4367" s="1208"/>
      <c r="I4367" s="1208"/>
      <c r="J4367" s="1208"/>
      <c r="K4367" s="123">
        <v>1.06</v>
      </c>
      <c r="L4367" s="10"/>
      <c r="M4367" s="1146"/>
      <c r="N4367" s="25"/>
      <c r="O4367" s="1119"/>
      <c r="P4367" s="441"/>
      <c r="Q4367" s="441"/>
      <c r="R4367" s="441"/>
      <c r="S4367" s="44"/>
      <c r="T4367"/>
      <c r="U4367" s="441"/>
    </row>
    <row r="4368" spans="1:24" s="59" customFormat="1" ht="30" customHeight="1">
      <c r="A4368" s="45"/>
      <c r="B4368" s="157"/>
      <c r="C4368" s="157"/>
      <c r="D4368" s="157"/>
      <c r="E4368" s="153"/>
      <c r="F4368" s="1175"/>
      <c r="G4368" s="1209" t="s">
        <v>2534</v>
      </c>
      <c r="H4368" s="1209"/>
      <c r="I4368" s="1209"/>
      <c r="J4368" s="1209"/>
      <c r="K4368" s="123">
        <v>1.07</v>
      </c>
      <c r="L4368" s="10"/>
      <c r="M4368" s="1146"/>
      <c r="N4368" s="25"/>
      <c r="O4368" s="1119"/>
      <c r="P4368"/>
      <c r="Q4368"/>
      <c r="R4368"/>
      <c r="S4368"/>
      <c r="T4368"/>
      <c r="U4368" s="441"/>
    </row>
    <row r="4369" spans="1:24" s="59" customFormat="1" ht="30" customHeight="1">
      <c r="A4369" s="46"/>
      <c r="B4369" s="20"/>
      <c r="C4369" s="18"/>
      <c r="D4369" s="18"/>
      <c r="E4369" s="18"/>
      <c r="F4369" s="18"/>
      <c r="G4369" s="18"/>
      <c r="H4369" s="18"/>
      <c r="I4369" s="18"/>
      <c r="J4369" s="20" t="s">
        <v>289</v>
      </c>
      <c r="K4369" s="23">
        <f>+K4366*K4367/K4368</f>
        <v>19.014616822429907</v>
      </c>
      <c r="L4369" s="20" t="s">
        <v>6</v>
      </c>
      <c r="M4369" s="1146"/>
      <c r="N4369" s="25"/>
      <c r="O4369" s="743"/>
      <c r="P4369"/>
      <c r="Q4369"/>
      <c r="R4369"/>
      <c r="S4369"/>
      <c r="T4369"/>
      <c r="U4369" s="441"/>
    </row>
    <row r="4370" spans="1:24" s="59" customFormat="1" ht="30" customHeight="1" thickBot="1">
      <c r="A4370" s="45"/>
      <c r="B4370" s="20"/>
      <c r="C4370" s="18"/>
      <c r="D4370" s="18"/>
      <c r="E4370" s="18"/>
      <c r="F4370" s="18"/>
      <c r="G4370" s="160" t="s">
        <v>312</v>
      </c>
      <c r="H4370" s="18"/>
      <c r="I4370" s="18"/>
      <c r="J4370" s="139">
        <f>VLOOKUP(B4362,'Mil Cost Premiums for RUCs'!$A$4:$R$266,18,FALSE)</f>
        <v>1.0905505199999999</v>
      </c>
      <c r="K4370" s="23">
        <f>+K4369*J4370</f>
        <v>20.736400263301679</v>
      </c>
      <c r="L4370" s="20" t="s">
        <v>6</v>
      </c>
      <c r="M4370" s="1146"/>
      <c r="N4370" s="25"/>
      <c r="O4370" s="743"/>
      <c r="P4370"/>
      <c r="Q4370"/>
      <c r="R4370"/>
      <c r="S4370"/>
      <c r="T4370"/>
      <c r="U4370" s="441"/>
    </row>
    <row r="4371" spans="1:24" s="59" customFormat="1" ht="30" customHeight="1" thickBot="1">
      <c r="A4371" s="1165"/>
      <c r="B4371" s="1166"/>
      <c r="C4371" s="1166"/>
      <c r="D4371" s="1166"/>
      <c r="E4371" s="1166"/>
      <c r="F4371" s="1166"/>
      <c r="G4371" s="1166"/>
      <c r="H4371" s="1166"/>
      <c r="I4371" s="1166"/>
      <c r="J4371" s="1166"/>
      <c r="K4371" s="1166"/>
      <c r="L4371" s="1167"/>
      <c r="M4371" s="1146"/>
      <c r="N4371" s="1103"/>
      <c r="O4371" s="1119"/>
      <c r="P4371"/>
      <c r="Q4371"/>
      <c r="R4371"/>
      <c r="S4371"/>
      <c r="T4371" s="44"/>
      <c r="U4371" s="441"/>
    </row>
    <row r="4372" spans="1:24" s="59" customFormat="1" ht="30" customHeight="1">
      <c r="A4372" s="27" t="s">
        <v>280</v>
      </c>
      <c r="B4372" s="82">
        <v>8931</v>
      </c>
      <c r="C4372" s="1197" t="s">
        <v>2274</v>
      </c>
      <c r="D4372" s="1198"/>
      <c r="E4372" s="74" t="s">
        <v>282</v>
      </c>
      <c r="F4372" s="75" t="s">
        <v>6</v>
      </c>
      <c r="G4372" s="58" t="s">
        <v>290</v>
      </c>
      <c r="H4372" s="76">
        <v>6007</v>
      </c>
      <c r="I4372" s="74" t="s">
        <v>283</v>
      </c>
      <c r="J4372" s="1199" t="s">
        <v>2529</v>
      </c>
      <c r="K4372" s="1199"/>
      <c r="L4372" s="1200"/>
      <c r="M4372" s="1146"/>
      <c r="N4372" s="1103"/>
      <c r="O4372" s="1119"/>
      <c r="P4372" s="441"/>
      <c r="Q4372" s="441"/>
      <c r="R4372" s="441"/>
      <c r="S4372" s="44"/>
      <c r="T4372" s="44"/>
      <c r="U4372" s="441"/>
    </row>
    <row r="4373" spans="1:24" s="59" customFormat="1" ht="30" customHeight="1">
      <c r="A4373" s="37" t="s">
        <v>304</v>
      </c>
      <c r="B4373" s="1201" t="s">
        <v>330</v>
      </c>
      <c r="C4373" s="1202"/>
      <c r="D4373" s="1203"/>
      <c r="E4373" s="150" t="s">
        <v>295</v>
      </c>
      <c r="F4373" s="150" t="s">
        <v>331</v>
      </c>
      <c r="G4373" s="1204" t="s">
        <v>332</v>
      </c>
      <c r="H4373" s="1205"/>
      <c r="I4373" s="77" t="s">
        <v>305</v>
      </c>
      <c r="J4373" s="35"/>
      <c r="K4373" s="1303" t="s">
        <v>297</v>
      </c>
      <c r="L4373" s="1304"/>
      <c r="M4373" s="1146"/>
      <c r="N4373" s="226"/>
      <c r="O4373" s="1119"/>
      <c r="P4373" s="441"/>
      <c r="Q4373" s="441"/>
      <c r="R4373" s="441"/>
      <c r="S4373" s="44"/>
      <c r="T4373"/>
      <c r="U4373" s="441"/>
    </row>
    <row r="4374" spans="1:24" s="59" customFormat="1" ht="30" customHeight="1">
      <c r="A4374" s="45" t="s">
        <v>482</v>
      </c>
      <c r="B4374" s="1176" t="s">
        <v>2858</v>
      </c>
      <c r="C4374" s="1177"/>
      <c r="D4374" s="1178"/>
      <c r="E4374" s="331">
        <v>27</v>
      </c>
      <c r="F4374" s="22" t="s">
        <v>209</v>
      </c>
      <c r="G4374" s="521">
        <v>35</v>
      </c>
      <c r="H4374" s="333" t="s">
        <v>2275</v>
      </c>
      <c r="I4374" s="20">
        <v>1.07</v>
      </c>
      <c r="J4374" s="20"/>
      <c r="K4374" s="349">
        <f>+E4374*G4374*I4374</f>
        <v>1011.1500000000001</v>
      </c>
      <c r="L4374" s="22" t="s">
        <v>6</v>
      </c>
      <c r="M4374" s="1146"/>
      <c r="N4374" s="226"/>
      <c r="O4374" s="1119"/>
      <c r="P4374"/>
      <c r="Q4374"/>
      <c r="R4374"/>
      <c r="S4374"/>
      <c r="T4374"/>
      <c r="U4374" s="441"/>
    </row>
    <row r="4375" spans="1:24" s="59" customFormat="1" ht="30" customHeight="1">
      <c r="A4375" s="45" t="s">
        <v>482</v>
      </c>
      <c r="B4375" s="1176" t="s">
        <v>2859</v>
      </c>
      <c r="C4375" s="1177"/>
      <c r="D4375" s="1178"/>
      <c r="E4375" s="335">
        <v>22.6</v>
      </c>
      <c r="F4375" s="22" t="s">
        <v>209</v>
      </c>
      <c r="G4375" s="521">
        <v>2</v>
      </c>
      <c r="H4375" s="333" t="s">
        <v>2275</v>
      </c>
      <c r="I4375" s="20">
        <v>1.07</v>
      </c>
      <c r="J4375" s="20"/>
      <c r="K4375" s="349">
        <f>+E4375*G4375*I4375</f>
        <v>48.364000000000004</v>
      </c>
      <c r="L4375" s="22" t="s">
        <v>6</v>
      </c>
      <c r="M4375" s="1146"/>
      <c r="N4375" s="226"/>
      <c r="O4375" s="1119"/>
      <c r="P4375"/>
      <c r="Q4375"/>
      <c r="R4375"/>
      <c r="S4375"/>
      <c r="T4375"/>
      <c r="U4375" s="441"/>
    </row>
    <row r="4376" spans="1:24" s="59" customFormat="1" ht="30" customHeight="1">
      <c r="A4376" s="46"/>
      <c r="B4376" s="1267" t="s">
        <v>2276</v>
      </c>
      <c r="C4376" s="1267"/>
      <c r="D4376" s="1267"/>
      <c r="E4376" s="153"/>
      <c r="F4376" s="20"/>
      <c r="G4376" s="20"/>
      <c r="H4376" s="20"/>
      <c r="I4376" s="20"/>
      <c r="J4376" s="45" t="s">
        <v>2277</v>
      </c>
      <c r="K4376" s="353">
        <f>+((K4374*0.12)+(K4375*0.88))/2</f>
        <v>81.949160000000006</v>
      </c>
      <c r="L4376" s="20" t="s">
        <v>6</v>
      </c>
      <c r="M4376" s="1146"/>
      <c r="N4376" s="25"/>
      <c r="O4376" s="1119"/>
      <c r="P4376"/>
      <c r="Q4376"/>
      <c r="R4376"/>
      <c r="S4376"/>
      <c r="T4376"/>
      <c r="U4376" s="441"/>
    </row>
    <row r="4377" spans="1:24" s="59" customFormat="1" ht="30" customHeight="1">
      <c r="A4377" s="45"/>
      <c r="B4377" s="1383"/>
      <c r="C4377" s="1384"/>
      <c r="D4377" s="1385"/>
      <c r="E4377" s="213"/>
      <c r="F4377" s="1367" t="s">
        <v>308</v>
      </c>
      <c r="G4377" s="1208" t="s">
        <v>309</v>
      </c>
      <c r="H4377" s="1208"/>
      <c r="I4377" s="1208"/>
      <c r="J4377" s="1208"/>
      <c r="K4377" s="123">
        <v>1.06</v>
      </c>
      <c r="L4377" s="24"/>
      <c r="M4377" s="1146"/>
      <c r="N4377" s="25"/>
      <c r="O4377" s="1119"/>
      <c r="P4377"/>
      <c r="Q4377"/>
      <c r="R4377"/>
      <c r="S4377"/>
      <c r="T4377"/>
      <c r="U4377" s="441"/>
    </row>
    <row r="4378" spans="1:24" s="59" customFormat="1" ht="30" customHeight="1">
      <c r="A4378" s="45"/>
      <c r="B4378" s="189"/>
      <c r="C4378" s="189"/>
      <c r="D4378" s="189"/>
      <c r="E4378" s="213"/>
      <c r="F4378" s="1368"/>
      <c r="G4378" s="1209" t="s">
        <v>2534</v>
      </c>
      <c r="H4378" s="1209"/>
      <c r="I4378" s="1209"/>
      <c r="J4378" s="1209"/>
      <c r="K4378" s="123">
        <v>1.07</v>
      </c>
      <c r="L4378" s="24"/>
      <c r="M4378" s="1146"/>
      <c r="N4378" s="25"/>
      <c r="O4378" s="1119"/>
      <c r="P4378"/>
      <c r="Q4378"/>
      <c r="R4378"/>
      <c r="S4378"/>
      <c r="T4378"/>
      <c r="U4378" s="441"/>
    </row>
    <row r="4379" spans="1:24" s="59" customFormat="1" ht="30" customHeight="1">
      <c r="A4379" s="46"/>
      <c r="B4379" s="45"/>
      <c r="C4379" s="46"/>
      <c r="D4379" s="46"/>
      <c r="E4379" s="46"/>
      <c r="F4379" s="46"/>
      <c r="G4379" s="18"/>
      <c r="H4379" s="18"/>
      <c r="I4379" s="18"/>
      <c r="J4379" s="18" t="s">
        <v>289</v>
      </c>
      <c r="K4379" s="23">
        <f>+K4376*K4377/K4378</f>
        <v>81.183280000000011</v>
      </c>
      <c r="L4379" s="45" t="s">
        <v>6</v>
      </c>
      <c r="M4379" s="1146"/>
      <c r="N4379" s="25"/>
      <c r="O4379" s="743"/>
      <c r="P4379"/>
      <c r="Q4379"/>
      <c r="R4379"/>
      <c r="S4379"/>
      <c r="T4379" s="44"/>
      <c r="U4379"/>
      <c r="V4379"/>
      <c r="W4379"/>
      <c r="X4379"/>
    </row>
    <row r="4380" spans="1:24" ht="30" customHeight="1" thickBot="1">
      <c r="A4380" s="45"/>
      <c r="B4380" s="45"/>
      <c r="C4380" s="46"/>
      <c r="D4380" s="46"/>
      <c r="E4380" s="46"/>
      <c r="F4380" s="46"/>
      <c r="G4380" s="160" t="s">
        <v>312</v>
      </c>
      <c r="H4380" s="18"/>
      <c r="I4380" s="18"/>
      <c r="J4380" s="139">
        <f>VLOOKUP(B4372,'Mil Cost Premiums for RUCs'!$A$4:$R$266,18,FALSE)</f>
        <v>1.0905505199999999</v>
      </c>
      <c r="K4380" s="23">
        <f>+K4379*J4380</f>
        <v>88.534468219305595</v>
      </c>
      <c r="L4380" s="45" t="s">
        <v>6</v>
      </c>
      <c r="M4380" s="1146"/>
      <c r="N4380" s="226"/>
      <c r="O4380" s="743"/>
      <c r="P4380" s="34"/>
      <c r="Q4380" s="34"/>
      <c r="R4380" s="34"/>
      <c r="S4380" s="44"/>
      <c r="T4380" s="44"/>
    </row>
    <row r="4381" spans="1:24" ht="30" customHeight="1" thickBot="1">
      <c r="A4381" s="1165"/>
      <c r="B4381" s="1166"/>
      <c r="C4381" s="1166"/>
      <c r="D4381" s="1166"/>
      <c r="E4381" s="1166"/>
      <c r="F4381" s="1166"/>
      <c r="G4381" s="1166"/>
      <c r="H4381" s="1166"/>
      <c r="I4381" s="1166"/>
      <c r="J4381" s="1166"/>
      <c r="K4381" s="1166"/>
      <c r="L4381" s="1167"/>
      <c r="M4381" s="1146"/>
      <c r="N4381" s="226"/>
      <c r="O4381" s="743"/>
      <c r="P4381" s="34"/>
      <c r="Q4381" s="34"/>
      <c r="R4381" s="34"/>
      <c r="S4381" s="44"/>
      <c r="T4381" s="44"/>
      <c r="U4381" s="34"/>
    </row>
    <row r="4382" spans="1:24" ht="30" customHeight="1">
      <c r="A4382" s="108" t="s">
        <v>280</v>
      </c>
      <c r="B4382" s="163">
        <v>8932</v>
      </c>
      <c r="C4382" s="1634" t="s">
        <v>2278</v>
      </c>
      <c r="D4382" s="1635"/>
      <c r="E4382" s="216" t="s">
        <v>282</v>
      </c>
      <c r="F4382" s="217" t="s">
        <v>6</v>
      </c>
      <c r="G4382" s="58" t="s">
        <v>290</v>
      </c>
      <c r="H4382" s="245">
        <v>13968</v>
      </c>
      <c r="I4382" s="216" t="s">
        <v>283</v>
      </c>
      <c r="J4382" s="1199" t="s">
        <v>2529</v>
      </c>
      <c r="K4382" s="1199"/>
      <c r="L4382" s="1200"/>
      <c r="M4382" s="1146"/>
      <c r="O4382" s="743"/>
      <c r="P4382" s="441"/>
      <c r="Q4382" s="441"/>
      <c r="R4382" s="441"/>
      <c r="S4382" s="44"/>
      <c r="T4382" s="44"/>
      <c r="U4382" s="34"/>
    </row>
    <row r="4383" spans="1:24" ht="30" customHeight="1">
      <c r="A4383" s="294" t="s">
        <v>304</v>
      </c>
      <c r="B4383" s="1324" t="s">
        <v>330</v>
      </c>
      <c r="C4383" s="1325"/>
      <c r="D4383" s="1326"/>
      <c r="E4383" s="219" t="s">
        <v>295</v>
      </c>
      <c r="F4383" s="219" t="s">
        <v>331</v>
      </c>
      <c r="G4383" s="1327" t="s">
        <v>332</v>
      </c>
      <c r="H4383" s="1328"/>
      <c r="I4383" s="167" t="s">
        <v>305</v>
      </c>
      <c r="J4383" s="167"/>
      <c r="K4383" s="1303" t="s">
        <v>297</v>
      </c>
      <c r="L4383" s="1304"/>
      <c r="M4383" s="1146"/>
      <c r="P4383" s="441"/>
      <c r="Q4383" s="441"/>
      <c r="R4383" s="441"/>
      <c r="S4383" s="44"/>
      <c r="T4383" s="44"/>
      <c r="U4383" s="34"/>
    </row>
    <row r="4384" spans="1:24" ht="30" customHeight="1">
      <c r="A4384" s="24" t="s">
        <v>482</v>
      </c>
      <c r="B4384" s="1162" t="s">
        <v>2860</v>
      </c>
      <c r="C4384" s="1163"/>
      <c r="D4384" s="1164"/>
      <c r="E4384" s="299">
        <v>22.6</v>
      </c>
      <c r="F4384" s="5" t="s">
        <v>209</v>
      </c>
      <c r="G4384" s="296">
        <v>4</v>
      </c>
      <c r="H4384" s="297" t="s">
        <v>2275</v>
      </c>
      <c r="I4384" s="10">
        <v>1.07</v>
      </c>
      <c r="J4384" s="10"/>
      <c r="K4384" s="299">
        <f>+E4384*G4384*I4384</f>
        <v>96.728000000000009</v>
      </c>
      <c r="L4384" s="5" t="s">
        <v>6</v>
      </c>
      <c r="M4384" s="1146"/>
      <c r="P4384" s="441"/>
      <c r="Q4384" s="441"/>
      <c r="R4384" s="441"/>
      <c r="S4384" s="44"/>
      <c r="T4384" s="44"/>
      <c r="U4384" s="441"/>
      <c r="V4384" s="59"/>
      <c r="W4384" s="59"/>
      <c r="X4384" s="59"/>
    </row>
    <row r="4385" spans="1:24" s="59" customFormat="1" ht="30" customHeight="1">
      <c r="A4385" s="24" t="s">
        <v>482</v>
      </c>
      <c r="B4385" s="1162" t="s">
        <v>2862</v>
      </c>
      <c r="C4385" s="1163"/>
      <c r="D4385" s="1164"/>
      <c r="E4385" s="851">
        <v>27</v>
      </c>
      <c r="F4385" s="489" t="s">
        <v>209</v>
      </c>
      <c r="G4385" s="852">
        <v>8</v>
      </c>
      <c r="H4385" s="489" t="s">
        <v>2275</v>
      </c>
      <c r="I4385" s="10">
        <v>1.07</v>
      </c>
      <c r="J4385" s="10"/>
      <c r="K4385" s="115">
        <f>+E4385*G4385*I4385</f>
        <v>231.12</v>
      </c>
      <c r="L4385" s="10" t="s">
        <v>6</v>
      </c>
      <c r="M4385" s="1146"/>
      <c r="N4385" s="25"/>
      <c r="O4385" s="1119"/>
      <c r="P4385" s="441"/>
      <c r="Q4385" s="441"/>
      <c r="R4385" s="441"/>
      <c r="S4385" s="44"/>
      <c r="T4385" s="38"/>
      <c r="U4385" s="759"/>
      <c r="V4385" s="760"/>
      <c r="W4385" s="760"/>
      <c r="X4385" s="760"/>
    </row>
    <row r="4386" spans="1:24" s="760" customFormat="1" ht="30" customHeight="1">
      <c r="A4386" s="24" t="s">
        <v>482</v>
      </c>
      <c r="B4386" s="1162" t="s">
        <v>2861</v>
      </c>
      <c r="C4386" s="1163"/>
      <c r="D4386" s="1164"/>
      <c r="E4386" s="851">
        <v>31.25</v>
      </c>
      <c r="F4386" s="489" t="s">
        <v>209</v>
      </c>
      <c r="G4386" s="852">
        <v>16</v>
      </c>
      <c r="H4386" s="489" t="s">
        <v>2275</v>
      </c>
      <c r="I4386" s="10">
        <v>1.07</v>
      </c>
      <c r="J4386" s="10"/>
      <c r="K4386" s="115">
        <f>+E4386*G4386*I4386</f>
        <v>535</v>
      </c>
      <c r="L4386" s="10" t="s">
        <v>6</v>
      </c>
      <c r="M4386" s="1146"/>
      <c r="N4386" s="25"/>
      <c r="O4386" s="1119"/>
      <c r="P4386" s="38"/>
      <c r="Q4386" s="38"/>
      <c r="R4386" s="38"/>
      <c r="S4386" s="38"/>
      <c r="T4386"/>
      <c r="U4386" s="441"/>
      <c r="V4386" s="59"/>
      <c r="W4386" s="59"/>
      <c r="X4386" s="59"/>
    </row>
    <row r="4387" spans="1:24" s="59" customFormat="1" ht="30" customHeight="1">
      <c r="A4387" s="24"/>
      <c r="B4387" s="13"/>
      <c r="C4387" s="13"/>
      <c r="D4387" s="13"/>
      <c r="E4387" s="13"/>
      <c r="F4387" s="13"/>
      <c r="G4387" s="13"/>
      <c r="H4387" s="13"/>
      <c r="I4387" s="130"/>
      <c r="J4387" s="133" t="s">
        <v>311</v>
      </c>
      <c r="K4387" s="115">
        <f>AVERAGE(K4384:K4386)</f>
        <v>287.61599999999999</v>
      </c>
      <c r="L4387" s="10" t="s">
        <v>6</v>
      </c>
      <c r="M4387" s="1146"/>
      <c r="N4387" s="25"/>
      <c r="O4387"/>
      <c r="P4387"/>
      <c r="Q4387"/>
      <c r="R4387"/>
      <c r="S4387"/>
      <c r="T4387" s="44"/>
      <c r="U4387"/>
      <c r="V4387"/>
      <c r="W4387"/>
      <c r="X4387"/>
    </row>
    <row r="4388" spans="1:24" ht="30" customHeight="1">
      <c r="A4388" s="45"/>
      <c r="B4388" s="1179"/>
      <c r="C4388" s="1180"/>
      <c r="D4388" s="1181"/>
      <c r="E4388" s="153"/>
      <c r="F4388" s="1174" t="s">
        <v>308</v>
      </c>
      <c r="G4388" s="1208" t="s">
        <v>309</v>
      </c>
      <c r="H4388" s="1208"/>
      <c r="I4388" s="1208"/>
      <c r="J4388" s="1208"/>
      <c r="K4388" s="123">
        <v>1.06</v>
      </c>
      <c r="L4388" s="10"/>
      <c r="M4388" s="1146"/>
      <c r="O4388"/>
      <c r="P4388" s="34"/>
      <c r="Q4388" s="34"/>
      <c r="R4388" s="34"/>
      <c r="S4388" s="44"/>
      <c r="T4388" s="44"/>
    </row>
    <row r="4389" spans="1:24" ht="30" customHeight="1">
      <c r="A4389" s="45"/>
      <c r="B4389" s="157"/>
      <c r="C4389" s="157"/>
      <c r="D4389" s="157"/>
      <c r="E4389" s="153"/>
      <c r="F4389" s="1175"/>
      <c r="G4389" s="1209" t="s">
        <v>310</v>
      </c>
      <c r="H4389" s="1209"/>
      <c r="I4389" s="1209"/>
      <c r="J4389" s="1209"/>
      <c r="K4389" s="123">
        <v>1.07</v>
      </c>
      <c r="L4389" s="10"/>
      <c r="M4389" s="1146"/>
      <c r="O4389"/>
      <c r="P4389" s="34"/>
      <c r="Q4389" s="34"/>
      <c r="R4389" s="34"/>
      <c r="S4389" s="44"/>
    </row>
    <row r="4390" spans="1:24" ht="30" customHeight="1">
      <c r="A4390" s="24"/>
      <c r="B4390" s="10"/>
      <c r="C4390" s="13"/>
      <c r="D4390" s="13"/>
      <c r="E4390" s="13"/>
      <c r="F4390" s="13"/>
      <c r="G4390" s="13"/>
      <c r="H4390" s="13"/>
      <c r="I4390" s="13"/>
      <c r="J4390" s="10" t="s">
        <v>289</v>
      </c>
      <c r="K4390" s="14">
        <f>+K4387*K4388/K4389</f>
        <v>284.92799999999994</v>
      </c>
      <c r="L4390" s="10" t="s">
        <v>6</v>
      </c>
      <c r="M4390" s="1146"/>
      <c r="O4390"/>
      <c r="P4390" s="159"/>
      <c r="Q4390" s="147"/>
      <c r="R4390" s="149"/>
    </row>
    <row r="4391" spans="1:24" ht="30" customHeight="1">
      <c r="A4391" s="24"/>
      <c r="B4391" s="10"/>
      <c r="C4391" s="13"/>
      <c r="D4391" s="13"/>
      <c r="E4391" s="13"/>
      <c r="F4391" s="13"/>
      <c r="G4391" s="235" t="s">
        <v>385</v>
      </c>
      <c r="H4391" s="13"/>
      <c r="I4391" s="13"/>
      <c r="J4391" s="139">
        <f>VLOOKUP(B4382,'Mil Cost Premiums for RUCs'!$A$4:$R$266,18,FALSE)</f>
        <v>1.0905505199999999</v>
      </c>
      <c r="K4391" s="14">
        <f>+K4390*J4391</f>
        <v>310.7283785625599</v>
      </c>
      <c r="L4391" s="10" t="s">
        <v>6</v>
      </c>
      <c r="M4391" s="1146"/>
      <c r="N4391" s="226"/>
      <c r="O4391"/>
      <c r="P4391" s="159"/>
      <c r="Q4391" s="147"/>
      <c r="R4391" s="149"/>
    </row>
    <row r="4392" spans="1:24" ht="75" customHeight="1">
      <c r="A4392" s="1337" t="s">
        <v>2279</v>
      </c>
      <c r="B4392" s="1338"/>
      <c r="C4392" s="1338"/>
      <c r="D4392" s="1338"/>
      <c r="E4392" s="1338"/>
      <c r="F4392" s="1338"/>
      <c r="G4392" s="1338"/>
      <c r="H4392" s="1338"/>
      <c r="I4392" s="1338"/>
      <c r="J4392" s="1338"/>
      <c r="K4392" s="1338"/>
      <c r="L4392" s="1339"/>
      <c r="M4392" s="1146"/>
      <c r="N4392" s="637"/>
      <c r="O4392" s="34"/>
      <c r="P4392" s="159"/>
      <c r="Q4392" s="147"/>
      <c r="R4392" s="149"/>
      <c r="T4392" s="59"/>
      <c r="U4392" s="59"/>
      <c r="V4392" s="59"/>
      <c r="W4392" s="59"/>
      <c r="X4392" s="59"/>
    </row>
    <row r="4393" spans="1:24" s="59" customFormat="1" ht="30" customHeight="1">
      <c r="A4393" s="1362" t="s">
        <v>314</v>
      </c>
      <c r="B4393" s="1363"/>
      <c r="C4393" s="1364"/>
      <c r="D4393" s="1270" t="s">
        <v>2280</v>
      </c>
      <c r="E4393" s="1371"/>
      <c r="F4393" s="1371"/>
      <c r="G4393" s="1371"/>
      <c r="H4393" s="1371"/>
      <c r="I4393" s="1371"/>
      <c r="J4393" s="1371"/>
      <c r="K4393" s="1371"/>
      <c r="L4393" s="1372"/>
      <c r="M4393" s="1146"/>
      <c r="N4393" s="226"/>
      <c r="O4393" s="34"/>
      <c r="P4393" s="159"/>
      <c r="Q4393" s="147"/>
      <c r="R4393" s="149"/>
      <c r="S4393"/>
    </row>
    <row r="4394" spans="1:24" s="59" customFormat="1" ht="30" customHeight="1">
      <c r="A4394" s="1362" t="s">
        <v>316</v>
      </c>
      <c r="B4394" s="1363"/>
      <c r="C4394" s="1364"/>
      <c r="D4394" s="1270" t="s">
        <v>2281</v>
      </c>
      <c r="E4394" s="1371"/>
      <c r="F4394" s="1371"/>
      <c r="G4394" s="1371"/>
      <c r="H4394" s="1371"/>
      <c r="I4394" s="1371"/>
      <c r="J4394" s="1371"/>
      <c r="K4394" s="1371"/>
      <c r="L4394" s="1372"/>
      <c r="M4394" s="1146"/>
      <c r="N4394" s="25"/>
      <c r="O4394"/>
      <c r="P4394" s="159"/>
      <c r="Q4394" s="147"/>
      <c r="R4394" s="149"/>
      <c r="S4394"/>
      <c r="T4394"/>
      <c r="U4394"/>
      <c r="V4394"/>
      <c r="W4394"/>
      <c r="X4394"/>
    </row>
    <row r="4395" spans="1:24" ht="30" customHeight="1">
      <c r="A4395" s="1362" t="s">
        <v>317</v>
      </c>
      <c r="B4395" s="1363"/>
      <c r="C4395" s="1364"/>
      <c r="D4395" s="1270" t="s">
        <v>2282</v>
      </c>
      <c r="E4395" s="1371"/>
      <c r="F4395" s="1371"/>
      <c r="G4395" s="1371"/>
      <c r="H4395" s="1371"/>
      <c r="I4395" s="1371"/>
      <c r="J4395" s="1371"/>
      <c r="K4395" s="1371"/>
      <c r="L4395" s="1372"/>
      <c r="M4395" s="1146"/>
      <c r="O4395"/>
      <c r="P4395" s="283"/>
      <c r="Q4395" s="282"/>
      <c r="R4395" s="284"/>
    </row>
    <row r="4396" spans="1:24" ht="30" customHeight="1">
      <c r="A4396" s="1362" t="s">
        <v>318</v>
      </c>
      <c r="B4396" s="1363"/>
      <c r="C4396" s="1364"/>
      <c r="D4396" s="1270" t="s">
        <v>2283</v>
      </c>
      <c r="E4396" s="1371"/>
      <c r="F4396" s="1371"/>
      <c r="G4396" s="1371"/>
      <c r="H4396" s="1371"/>
      <c r="I4396" s="1371"/>
      <c r="J4396" s="1371"/>
      <c r="K4396" s="1371"/>
      <c r="L4396" s="1372"/>
      <c r="M4396" s="1146"/>
      <c r="O4396"/>
      <c r="P4396" s="283"/>
      <c r="Q4396" s="282"/>
      <c r="R4396" s="284"/>
      <c r="T4396" s="59"/>
      <c r="U4396" s="59"/>
      <c r="V4396" s="59"/>
      <c r="W4396" s="59"/>
      <c r="X4396" s="59"/>
    </row>
    <row r="4397" spans="1:24" s="59" customFormat="1" ht="30" customHeight="1">
      <c r="A4397" s="1362" t="s">
        <v>320</v>
      </c>
      <c r="B4397" s="1363"/>
      <c r="C4397" s="1364"/>
      <c r="D4397" s="1270" t="s">
        <v>2913</v>
      </c>
      <c r="E4397" s="1371"/>
      <c r="F4397" s="1371"/>
      <c r="G4397" s="1371"/>
      <c r="H4397" s="1371"/>
      <c r="I4397" s="1371"/>
      <c r="J4397" s="1371"/>
      <c r="K4397" s="1371"/>
      <c r="L4397" s="1372"/>
      <c r="M4397" s="1146"/>
      <c r="N4397" s="1103"/>
      <c r="O4397"/>
      <c r="P4397" s="159"/>
      <c r="Q4397" s="147"/>
      <c r="R4397" s="149"/>
      <c r="S4397"/>
    </row>
    <row r="4398" spans="1:24" s="59" customFormat="1" ht="30" customHeight="1">
      <c r="A4398" s="1362" t="s">
        <v>322</v>
      </c>
      <c r="B4398" s="1363"/>
      <c r="C4398" s="1364"/>
      <c r="D4398" s="1270" t="s">
        <v>1891</v>
      </c>
      <c r="E4398" s="1371"/>
      <c r="F4398" s="1371"/>
      <c r="G4398" s="1371"/>
      <c r="H4398" s="1371"/>
      <c r="I4398" s="1371"/>
      <c r="J4398" s="1371"/>
      <c r="K4398" s="1371"/>
      <c r="L4398" s="1372"/>
      <c r="M4398" s="1146"/>
      <c r="N4398" s="1103"/>
      <c r="O4398"/>
      <c r="P4398" s="159"/>
      <c r="Q4398" s="147"/>
      <c r="R4398" s="149"/>
      <c r="S4398"/>
    </row>
    <row r="4399" spans="1:24" s="59" customFormat="1" ht="30" customHeight="1">
      <c r="A4399" s="1362" t="s">
        <v>324</v>
      </c>
      <c r="B4399" s="1363"/>
      <c r="C4399" s="1364"/>
      <c r="D4399" s="1270" t="s">
        <v>2067</v>
      </c>
      <c r="E4399" s="1371"/>
      <c r="F4399" s="1371"/>
      <c r="G4399" s="1371"/>
      <c r="H4399" s="1371"/>
      <c r="I4399" s="1371"/>
      <c r="J4399" s="1371"/>
      <c r="K4399" s="1371"/>
      <c r="L4399" s="1372"/>
      <c r="M4399" s="1146"/>
      <c r="N4399" s="1103"/>
      <c r="O4399"/>
      <c r="P4399" s="159"/>
      <c r="Q4399" s="147"/>
      <c r="R4399" s="149"/>
      <c r="S4399"/>
    </row>
    <row r="4400" spans="1:24" s="59" customFormat="1" ht="30" customHeight="1">
      <c r="A4400" s="1362" t="s">
        <v>325</v>
      </c>
      <c r="B4400" s="1363"/>
      <c r="C4400" s="1364"/>
      <c r="D4400" s="1270" t="s">
        <v>326</v>
      </c>
      <c r="E4400" s="1371"/>
      <c r="F4400" s="1371"/>
      <c r="G4400" s="1371"/>
      <c r="H4400" s="1371"/>
      <c r="I4400" s="1371"/>
      <c r="J4400" s="1371"/>
      <c r="K4400" s="1371"/>
      <c r="L4400" s="1372"/>
      <c r="M4400" s="1146"/>
      <c r="N4400" s="282"/>
      <c r="O4400"/>
      <c r="P4400" s="159"/>
      <c r="Q4400" s="147"/>
      <c r="R4400" s="149"/>
      <c r="S4400"/>
    </row>
    <row r="4401" spans="1:24" s="59" customFormat="1" ht="30" customHeight="1" thickBot="1">
      <c r="A4401" s="1498" t="s">
        <v>327</v>
      </c>
      <c r="B4401" s="1499"/>
      <c r="C4401" s="1500"/>
      <c r="D4401" s="1270" t="s">
        <v>2284</v>
      </c>
      <c r="E4401" s="1371"/>
      <c r="F4401" s="1371"/>
      <c r="G4401" s="1371"/>
      <c r="H4401" s="1371"/>
      <c r="I4401" s="1371"/>
      <c r="J4401" s="1371"/>
      <c r="K4401" s="1371"/>
      <c r="L4401" s="1372"/>
      <c r="M4401" s="1146"/>
      <c r="N4401" s="282"/>
      <c r="O4401"/>
      <c r="P4401" s="159"/>
      <c r="Q4401" s="147"/>
      <c r="R4401" s="149"/>
      <c r="S4401"/>
    </row>
    <row r="4402" spans="1:24" s="59" customFormat="1" ht="30" customHeight="1" thickBot="1">
      <c r="A4402" s="1165"/>
      <c r="B4402" s="1166"/>
      <c r="C4402" s="1166"/>
      <c r="D4402" s="1166"/>
      <c r="E4402" s="1166"/>
      <c r="F4402" s="1166"/>
      <c r="G4402" s="1166"/>
      <c r="H4402" s="1166"/>
      <c r="I4402" s="1166"/>
      <c r="J4402" s="1166"/>
      <c r="K4402" s="1166"/>
      <c r="L4402" s="1167"/>
      <c r="M4402" s="1146"/>
      <c r="N4402" s="1103"/>
      <c r="O4402"/>
      <c r="P4402" s="159"/>
      <c r="Q4402" s="147"/>
      <c r="R4402" s="149"/>
      <c r="S4402"/>
    </row>
    <row r="4403" spans="1:24" s="59" customFormat="1" ht="30" customHeight="1">
      <c r="A4403" s="108" t="s">
        <v>280</v>
      </c>
      <c r="B4403" s="109">
        <v>8951</v>
      </c>
      <c r="C4403" s="1576" t="s">
        <v>2285</v>
      </c>
      <c r="D4403" s="1577"/>
      <c r="E4403" s="110" t="s">
        <v>282</v>
      </c>
      <c r="F4403" s="111" t="s">
        <v>5</v>
      </c>
      <c r="G4403" s="58" t="s">
        <v>290</v>
      </c>
      <c r="H4403" s="959">
        <v>463495</v>
      </c>
      <c r="I4403" s="110" t="s">
        <v>283</v>
      </c>
      <c r="J4403" s="1199" t="s">
        <v>2529</v>
      </c>
      <c r="K4403" s="1199"/>
      <c r="L4403" s="1200"/>
      <c r="M4403" s="1146"/>
      <c r="N4403" s="1103"/>
      <c r="O4403"/>
      <c r="P4403" s="159"/>
      <c r="Q4403" s="147"/>
      <c r="R4403" s="149"/>
      <c r="S4403"/>
    </row>
    <row r="4404" spans="1:24" s="59" customFormat="1" ht="30" customHeight="1">
      <c r="A4404" s="294" t="s">
        <v>304</v>
      </c>
      <c r="B4404" s="1324" t="s">
        <v>330</v>
      </c>
      <c r="C4404" s="1325"/>
      <c r="D4404" s="1326"/>
      <c r="E4404" s="669" t="s">
        <v>295</v>
      </c>
      <c r="F4404" s="219" t="s">
        <v>331</v>
      </c>
      <c r="G4404" s="1327" t="s">
        <v>332</v>
      </c>
      <c r="H4404" s="1328"/>
      <c r="I4404" s="167" t="s">
        <v>2286</v>
      </c>
      <c r="J4404" s="167" t="s">
        <v>305</v>
      </c>
      <c r="K4404" s="1303" t="s">
        <v>297</v>
      </c>
      <c r="L4404" s="1304"/>
      <c r="M4404" s="1148"/>
      <c r="N4404" s="1103"/>
      <c r="O4404"/>
      <c r="P4404" s="159"/>
      <c r="Q4404" s="147"/>
      <c r="R4404" s="149"/>
      <c r="S4404"/>
    </row>
    <row r="4405" spans="1:24" s="59" customFormat="1" ht="30" customHeight="1">
      <c r="A4405" s="24" t="s">
        <v>2031</v>
      </c>
      <c r="B4405" s="1182" t="s">
        <v>2287</v>
      </c>
      <c r="C4405" s="1183"/>
      <c r="D4405" s="1184"/>
      <c r="E4405" s="168">
        <f>+(0.19+0.37)/2</f>
        <v>0.28000000000000003</v>
      </c>
      <c r="F4405" s="5" t="s">
        <v>209</v>
      </c>
      <c r="G4405" s="853">
        <f>1/7.48</f>
        <v>0.13368983957219249</v>
      </c>
      <c r="H4405" s="297" t="s">
        <v>2288</v>
      </c>
      <c r="I4405" s="1059">
        <f xml:space="preserve"> 1617/3519</f>
        <v>0.45950554134697358</v>
      </c>
      <c r="J4405" s="1094">
        <v>1.1000000000000001</v>
      </c>
      <c r="K4405" s="854">
        <f t="shared" ref="K4405:K4413" si="65">+E4405*G4405*J4405*I4405</f>
        <v>1.8920816408404793E-2</v>
      </c>
      <c r="L4405" s="5" t="s">
        <v>5</v>
      </c>
      <c r="M4405" s="1148"/>
      <c r="N4405" s="1103"/>
      <c r="O4405"/>
      <c r="P4405" s="159"/>
      <c r="Q4405" s="147"/>
      <c r="R4405" s="149"/>
      <c r="S4405"/>
    </row>
    <row r="4406" spans="1:24" s="59" customFormat="1" ht="30" customHeight="1">
      <c r="A4406" s="10" t="s">
        <v>2097</v>
      </c>
      <c r="B4406" s="1182" t="s">
        <v>2289</v>
      </c>
      <c r="C4406" s="1183"/>
      <c r="D4406" s="1184"/>
      <c r="E4406" s="168">
        <v>97000</v>
      </c>
      <c r="F4406" s="5" t="s">
        <v>10</v>
      </c>
      <c r="G4406" s="853">
        <f>1/20000</f>
        <v>5.0000000000000002E-5</v>
      </c>
      <c r="H4406" s="297" t="s">
        <v>1321</v>
      </c>
      <c r="I4406" s="1059">
        <f>7/3519</f>
        <v>1.9892014776925265E-3</v>
      </c>
      <c r="J4406" s="133">
        <v>1.08</v>
      </c>
      <c r="K4406" s="854">
        <f t="shared" si="65"/>
        <v>1.0419437340153456E-2</v>
      </c>
      <c r="L4406" s="5" t="s">
        <v>5</v>
      </c>
      <c r="M4406" s="1148"/>
      <c r="N4406" s="1103"/>
      <c r="O4406"/>
      <c r="P4406" s="159"/>
      <c r="Q4406" s="147"/>
      <c r="R4406" s="149"/>
      <c r="S4406"/>
      <c r="T4406"/>
      <c r="U4406"/>
      <c r="V4406"/>
      <c r="W4406"/>
      <c r="X4406"/>
    </row>
    <row r="4407" spans="1:24" ht="30" customHeight="1">
      <c r="A4407" s="24" t="s">
        <v>2031</v>
      </c>
      <c r="B4407" s="1182" t="s">
        <v>2290</v>
      </c>
      <c r="C4407" s="1183"/>
      <c r="D4407" s="1184"/>
      <c r="E4407" s="168">
        <f>+(1.63+2.22)/2</f>
        <v>1.925</v>
      </c>
      <c r="F4407" s="5" t="s">
        <v>209</v>
      </c>
      <c r="G4407" s="853">
        <f>1/7.48</f>
        <v>0.13368983957219249</v>
      </c>
      <c r="H4407" s="297" t="s">
        <v>2288</v>
      </c>
      <c r="I4407" s="1059">
        <f>714/3519</f>
        <v>0.20289855072463769</v>
      </c>
      <c r="J4407" s="1094">
        <v>1.1000000000000001</v>
      </c>
      <c r="K4407" s="854">
        <f>+E4407*G4407*J4407*I4407</f>
        <v>5.7438192668371697E-2</v>
      </c>
      <c r="L4407" s="5" t="s">
        <v>5</v>
      </c>
      <c r="M4407" s="1148"/>
      <c r="N4407" s="1103"/>
      <c r="O4407" s="38"/>
      <c r="P4407" s="159"/>
      <c r="Q4407" s="147"/>
      <c r="R4407" s="149"/>
    </row>
    <row r="4408" spans="1:24" ht="30" customHeight="1">
      <c r="A4408" s="24" t="s">
        <v>2031</v>
      </c>
      <c r="B4408" s="1182" t="s">
        <v>2292</v>
      </c>
      <c r="C4408" s="1183"/>
      <c r="D4408" s="1184"/>
      <c r="E4408" s="168">
        <f>+(2.91+4.54)/2</f>
        <v>3.7250000000000001</v>
      </c>
      <c r="F4408" s="5" t="s">
        <v>209</v>
      </c>
      <c r="G4408" s="853">
        <f>1/7.48</f>
        <v>0.13368983957219249</v>
      </c>
      <c r="H4408" s="297" t="s">
        <v>2288</v>
      </c>
      <c r="I4408" s="1059">
        <f>121/3519</f>
        <v>3.4384768400113667E-2</v>
      </c>
      <c r="J4408" s="1094">
        <v>1.1000000000000001</v>
      </c>
      <c r="K4408" s="854">
        <f t="shared" si="65"/>
        <v>1.8835773866238734E-2</v>
      </c>
      <c r="L4408" s="5" t="s">
        <v>5</v>
      </c>
      <c r="M4408" s="1148"/>
      <c r="N4408" s="1103"/>
      <c r="O4408"/>
      <c r="P4408" s="159"/>
      <c r="Q4408" s="147"/>
      <c r="R4408" s="149"/>
    </row>
    <row r="4409" spans="1:24" ht="30" customHeight="1">
      <c r="A4409" s="24" t="s">
        <v>1320</v>
      </c>
      <c r="B4409" s="1182" t="s">
        <v>2291</v>
      </c>
      <c r="C4409" s="1183"/>
      <c r="D4409" s="1184"/>
      <c r="E4409" s="168">
        <v>4675</v>
      </c>
      <c r="F4409" s="5" t="s">
        <v>10</v>
      </c>
      <c r="G4409" s="853">
        <f>1/1500</f>
        <v>6.6666666666666664E-4</v>
      </c>
      <c r="H4409" s="297" t="s">
        <v>1321</v>
      </c>
      <c r="I4409" s="1059">
        <f>7/3519</f>
        <v>1.9892014776925265E-3</v>
      </c>
      <c r="J4409" s="133">
        <v>1.08</v>
      </c>
      <c r="K4409" s="854">
        <f>+E4409*G4409*J4409*I4409</f>
        <v>6.6956521739130444E-3</v>
      </c>
      <c r="L4409" s="5" t="s">
        <v>5</v>
      </c>
      <c r="M4409" s="1148"/>
      <c r="N4409" s="1103"/>
      <c r="O4409"/>
      <c r="P4409" s="159"/>
      <c r="Q4409" s="147"/>
      <c r="R4409" s="149"/>
      <c r="T4409" s="38"/>
      <c r="U4409" s="38"/>
      <c r="V4409" s="38"/>
      <c r="W4409" s="38"/>
      <c r="X4409" s="38"/>
    </row>
    <row r="4410" spans="1:24" s="38" customFormat="1" ht="30" customHeight="1">
      <c r="A4410" s="24" t="s">
        <v>1320</v>
      </c>
      <c r="B4410" s="1182" t="s">
        <v>2293</v>
      </c>
      <c r="C4410" s="1183"/>
      <c r="D4410" s="1184"/>
      <c r="E4410" s="168">
        <v>5200</v>
      </c>
      <c r="F4410" s="5" t="s">
        <v>10</v>
      </c>
      <c r="G4410" s="853">
        <f>1/2500</f>
        <v>4.0000000000000002E-4</v>
      </c>
      <c r="H4410" s="297" t="s">
        <v>1321</v>
      </c>
      <c r="I4410" s="1059">
        <f>513/3519</f>
        <v>0.14578005115089515</v>
      </c>
      <c r="J4410" s="10">
        <v>1.08</v>
      </c>
      <c r="K4410" s="854">
        <f>+E4410*G4410*J4410*I4410</f>
        <v>0.32748030690537094</v>
      </c>
      <c r="L4410" s="5" t="s">
        <v>5</v>
      </c>
      <c r="M4410" s="1148"/>
      <c r="N4410" s="1103"/>
      <c r="O4410" s="34"/>
      <c r="P4410" s="159"/>
      <c r="Q4410" s="147"/>
      <c r="R4410" s="149"/>
      <c r="T4410" s="59"/>
      <c r="U4410" s="59"/>
      <c r="V4410" s="59"/>
      <c r="W4410" s="59"/>
      <c r="X4410" s="59"/>
    </row>
    <row r="4411" spans="1:24" s="59" customFormat="1" ht="30" customHeight="1">
      <c r="A4411" s="24" t="s">
        <v>2031</v>
      </c>
      <c r="B4411" s="1162" t="s">
        <v>2294</v>
      </c>
      <c r="C4411" s="1163"/>
      <c r="D4411" s="1164"/>
      <c r="E4411" s="168">
        <f>+(2.53+3.71)/2</f>
        <v>3.12</v>
      </c>
      <c r="F4411" s="5" t="s">
        <v>209</v>
      </c>
      <c r="G4411" s="853">
        <f>1/7.48</f>
        <v>0.13368983957219249</v>
      </c>
      <c r="H4411" s="297" t="s">
        <v>2288</v>
      </c>
      <c r="I4411" s="1059">
        <f>33/3519</f>
        <v>9.3776641091219103E-3</v>
      </c>
      <c r="J4411" s="415">
        <v>1.1000000000000001</v>
      </c>
      <c r="K4411" s="854">
        <f>+E4411*G4411*J4411*I4411</f>
        <v>4.3026929441853465E-3</v>
      </c>
      <c r="L4411" s="5" t="s">
        <v>5</v>
      </c>
      <c r="M4411" s="1148"/>
      <c r="N4411" s="1103"/>
      <c r="O4411" s="34"/>
      <c r="P4411" s="159"/>
      <c r="Q4411" s="147"/>
      <c r="R4411" s="149"/>
    </row>
    <row r="4412" spans="1:24" s="59" customFormat="1" ht="30" customHeight="1">
      <c r="A4412" s="24" t="s">
        <v>2097</v>
      </c>
      <c r="B4412" s="1162" t="s">
        <v>2656</v>
      </c>
      <c r="C4412" s="1163"/>
      <c r="D4412" s="1164"/>
      <c r="E4412" s="168">
        <v>0.94</v>
      </c>
      <c r="F4412" s="5" t="s">
        <v>5</v>
      </c>
      <c r="G4412" s="853">
        <v>1</v>
      </c>
      <c r="H4412" s="297"/>
      <c r="I4412" s="1059">
        <f>2/3519</f>
        <v>5.6834327934072179E-4</v>
      </c>
      <c r="J4412" s="10">
        <v>1.08</v>
      </c>
      <c r="K4412" s="854">
        <f>+E4412*G4412*J4412*I4412</f>
        <v>5.7698209718670083E-4</v>
      </c>
      <c r="L4412" s="5" t="s">
        <v>5</v>
      </c>
      <c r="M4412" s="1148"/>
      <c r="N4412" s="1103"/>
      <c r="O4412"/>
      <c r="P4412" s="159"/>
      <c r="Q4412" s="147"/>
      <c r="R4412" s="149"/>
      <c r="T4412"/>
      <c r="U4412"/>
      <c r="V4412"/>
      <c r="W4412"/>
      <c r="X4412"/>
    </row>
    <row r="4413" spans="1:24" ht="30" customHeight="1">
      <c r="A4413" s="24" t="s">
        <v>1320</v>
      </c>
      <c r="B4413" s="1182" t="s">
        <v>2295</v>
      </c>
      <c r="C4413" s="1183"/>
      <c r="D4413" s="1184"/>
      <c r="E4413" s="168">
        <v>43300</v>
      </c>
      <c r="F4413" s="5" t="s">
        <v>10</v>
      </c>
      <c r="G4413" s="855">
        <f>1/30000</f>
        <v>3.3333333333333335E-5</v>
      </c>
      <c r="H4413" s="297" t="s">
        <v>1321</v>
      </c>
      <c r="I4413" s="1059">
        <v>0.14350667803353226</v>
      </c>
      <c r="J4413" s="10">
        <v>1.08</v>
      </c>
      <c r="K4413" s="1060">
        <f t="shared" si="65"/>
        <v>0.2236982097186701</v>
      </c>
      <c r="L4413" s="5" t="s">
        <v>5</v>
      </c>
      <c r="M4413" s="1148"/>
      <c r="N4413" s="1103"/>
      <c r="O4413"/>
      <c r="P4413" s="283"/>
      <c r="Q4413" s="282"/>
      <c r="R4413" s="284"/>
    </row>
    <row r="4414" spans="1:24" ht="30" customHeight="1">
      <c r="A4414" s="24"/>
      <c r="B4414" s="119"/>
      <c r="C4414" s="120"/>
      <c r="D4414" s="121"/>
      <c r="E4414" s="856"/>
      <c r="F4414" s="796"/>
      <c r="G4414" s="401"/>
      <c r="H4414" s="489"/>
      <c r="I4414" s="1058"/>
      <c r="J4414" s="560" t="s">
        <v>346</v>
      </c>
      <c r="K4414" s="1071">
        <f>SUM(K4405:K4413)</f>
        <v>0.66836806412249483</v>
      </c>
      <c r="L4414" s="796" t="s">
        <v>5</v>
      </c>
      <c r="M4414" s="1149"/>
      <c r="N4414" s="1103"/>
      <c r="O4414" s="59"/>
      <c r="P4414" s="283"/>
      <c r="Q4414" s="282"/>
      <c r="R4414" s="284"/>
    </row>
    <row r="4415" spans="1:24" ht="30" customHeight="1">
      <c r="A4415" s="45"/>
      <c r="B4415" s="1608" t="s">
        <v>2296</v>
      </c>
      <c r="C4415" s="1609"/>
      <c r="D4415" s="1610"/>
      <c r="E4415" s="153"/>
      <c r="F4415" s="1174" t="s">
        <v>308</v>
      </c>
      <c r="G4415" s="1208" t="s">
        <v>309</v>
      </c>
      <c r="H4415" s="1208"/>
      <c r="I4415" s="1208"/>
      <c r="J4415" s="1208"/>
      <c r="K4415" s="123">
        <v>1.06</v>
      </c>
      <c r="L4415" s="10"/>
      <c r="M4415" s="1148"/>
      <c r="N4415" s="1103"/>
      <c r="O4415"/>
      <c r="P4415" s="159"/>
      <c r="Q4415" s="147"/>
      <c r="R4415" s="149"/>
      <c r="S4415" s="59"/>
    </row>
    <row r="4416" spans="1:24" ht="30" customHeight="1">
      <c r="A4416" s="45"/>
      <c r="B4416" s="1734"/>
      <c r="C4416" s="1735"/>
      <c r="D4416" s="1736"/>
      <c r="E4416" s="153"/>
      <c r="F4416" s="1175"/>
      <c r="G4416" s="1209" t="s">
        <v>2534</v>
      </c>
      <c r="H4416" s="1209"/>
      <c r="I4416" s="1209"/>
      <c r="J4416" s="1209"/>
      <c r="K4416" s="123">
        <v>1.07</v>
      </c>
      <c r="L4416" s="10"/>
      <c r="M4416" s="1148"/>
      <c r="N4416" s="1103"/>
      <c r="O4416" s="38"/>
      <c r="P4416" s="159"/>
      <c r="Q4416" s="147"/>
      <c r="R4416" s="149"/>
    </row>
    <row r="4417" spans="1:24" ht="30" customHeight="1">
      <c r="A4417" s="24"/>
      <c r="B4417" s="1737"/>
      <c r="C4417" s="1738"/>
      <c r="D4417" s="1739"/>
      <c r="E4417" s="856"/>
      <c r="F4417" s="796"/>
      <c r="G4417" s="401"/>
      <c r="H4417" s="489"/>
      <c r="I4417" s="10"/>
      <c r="J4417" s="133" t="s">
        <v>289</v>
      </c>
      <c r="K4417" s="299">
        <f>+K4414*K4415/K4416</f>
        <v>0.66212163361667709</v>
      </c>
      <c r="L4417" s="5" t="s">
        <v>5</v>
      </c>
      <c r="M4417" s="1150"/>
      <c r="N4417" s="1103"/>
      <c r="O4417"/>
      <c r="P4417" s="308"/>
      <c r="Q4417" s="307"/>
      <c r="R4417" s="309"/>
    </row>
    <row r="4418" spans="1:24" ht="30" customHeight="1">
      <c r="A4418" s="47"/>
      <c r="B4418" s="10"/>
      <c r="C4418" s="13"/>
      <c r="D4418" s="13"/>
      <c r="E4418" s="13"/>
      <c r="F4418" s="13"/>
      <c r="G4418" s="235" t="s">
        <v>385</v>
      </c>
      <c r="H4418" s="13"/>
      <c r="I4418" s="13"/>
      <c r="J4418" s="383">
        <f>VLOOKUP(B4403,'Mil Cost Premiums for RUCs'!$A$4:$R$266,18,FALSE)</f>
        <v>1.0209999999999999</v>
      </c>
      <c r="K4418" s="115">
        <f>+K4417*J4418</f>
        <v>0.67602618792262725</v>
      </c>
      <c r="L4418" s="5" t="s">
        <v>5</v>
      </c>
      <c r="M4418" s="1150"/>
      <c r="N4418" s="1103"/>
      <c r="O4418"/>
      <c r="P4418" s="159"/>
      <c r="Q4418" s="147"/>
      <c r="R4418" s="149"/>
      <c r="T4418" s="38"/>
      <c r="U4418" s="38"/>
      <c r="V4418" s="38"/>
      <c r="W4418" s="38"/>
      <c r="X4418" s="38"/>
    </row>
    <row r="4419" spans="1:24" s="38" customFormat="1" ht="60" customHeight="1">
      <c r="A4419" s="1337" t="s">
        <v>313</v>
      </c>
      <c r="B4419" s="1338"/>
      <c r="C4419" s="1338"/>
      <c r="D4419" s="1338"/>
      <c r="E4419" s="1338"/>
      <c r="F4419" s="1338"/>
      <c r="G4419" s="1338"/>
      <c r="H4419" s="1338"/>
      <c r="I4419" s="1338"/>
      <c r="J4419" s="1338"/>
      <c r="K4419" s="1338"/>
      <c r="L4419" s="1339"/>
      <c r="M4419" s="1148"/>
      <c r="N4419" s="282"/>
      <c r="O4419"/>
      <c r="P4419" s="159"/>
      <c r="Q4419" s="147"/>
      <c r="R4419" s="149"/>
      <c r="T4419"/>
      <c r="U4419"/>
      <c r="V4419"/>
      <c r="W4419"/>
      <c r="X4419"/>
    </row>
    <row r="4420" spans="1:24" ht="75" customHeight="1">
      <c r="A4420" s="1362" t="s">
        <v>314</v>
      </c>
      <c r="B4420" s="1363"/>
      <c r="C4420" s="1364"/>
      <c r="D4420" s="1270" t="s">
        <v>2297</v>
      </c>
      <c r="E4420" s="1371"/>
      <c r="F4420" s="1371"/>
      <c r="G4420" s="1371"/>
      <c r="H4420" s="1371"/>
      <c r="I4420" s="1371"/>
      <c r="J4420" s="1371"/>
      <c r="K4420" s="1371"/>
      <c r="L4420" s="1372"/>
      <c r="M4420" s="1148"/>
      <c r="N4420" s="282"/>
      <c r="O4420" s="59"/>
      <c r="P4420" s="159"/>
      <c r="Q4420" s="147"/>
      <c r="R4420" s="149"/>
    </row>
    <row r="4421" spans="1:24" ht="30" customHeight="1">
      <c r="A4421" s="1362" t="s">
        <v>316</v>
      </c>
      <c r="B4421" s="1363"/>
      <c r="C4421" s="1364"/>
      <c r="D4421" s="1270" t="s">
        <v>2298</v>
      </c>
      <c r="E4421" s="1371"/>
      <c r="F4421" s="1371"/>
      <c r="G4421" s="1371"/>
      <c r="H4421" s="1371"/>
      <c r="I4421" s="1371"/>
      <c r="J4421" s="1371"/>
      <c r="K4421" s="1371"/>
      <c r="L4421" s="1372"/>
      <c r="M4421" s="1148"/>
      <c r="N4421" s="1103"/>
      <c r="O4421" s="59"/>
      <c r="P4421" s="159"/>
      <c r="Q4421" s="147"/>
      <c r="R4421" s="149"/>
      <c r="S4421" s="59"/>
    </row>
    <row r="4422" spans="1:24" ht="30" customHeight="1">
      <c r="A4422" s="1362" t="s">
        <v>317</v>
      </c>
      <c r="B4422" s="1363"/>
      <c r="C4422" s="1364"/>
      <c r="D4422" s="1270" t="s">
        <v>2657</v>
      </c>
      <c r="E4422" s="1371"/>
      <c r="F4422" s="1371"/>
      <c r="G4422" s="1371"/>
      <c r="H4422" s="1371"/>
      <c r="I4422" s="1371"/>
      <c r="J4422" s="1371"/>
      <c r="K4422" s="1371"/>
      <c r="L4422" s="1372"/>
      <c r="M4422" s="1148"/>
      <c r="N4422" s="1103"/>
      <c r="O4422" s="59"/>
      <c r="P4422" s="159"/>
      <c r="Q4422" s="147"/>
      <c r="R4422" s="149"/>
      <c r="S4422" s="59"/>
      <c r="T4422" s="59"/>
      <c r="U4422" s="59"/>
      <c r="V4422" s="59"/>
      <c r="W4422" s="59"/>
      <c r="X4422" s="59"/>
    </row>
    <row r="4423" spans="1:24" s="59" customFormat="1" ht="30" customHeight="1">
      <c r="A4423" s="1362" t="s">
        <v>318</v>
      </c>
      <c r="B4423" s="1363"/>
      <c r="C4423" s="1364"/>
      <c r="D4423" s="1270" t="s">
        <v>2299</v>
      </c>
      <c r="E4423" s="1371"/>
      <c r="F4423" s="1371"/>
      <c r="G4423" s="1371"/>
      <c r="H4423" s="1371"/>
      <c r="I4423" s="1371"/>
      <c r="J4423" s="1371"/>
      <c r="K4423" s="1371"/>
      <c r="L4423" s="1372"/>
      <c r="M4423" s="1149"/>
      <c r="N4423" s="1103"/>
      <c r="O4423" s="34"/>
      <c r="P4423" s="308"/>
      <c r="Q4423" s="307"/>
      <c r="R4423" s="309"/>
      <c r="S4423"/>
    </row>
    <row r="4424" spans="1:24" s="59" customFormat="1" ht="30" customHeight="1">
      <c r="A4424" s="1362" t="s">
        <v>320</v>
      </c>
      <c r="B4424" s="1363"/>
      <c r="C4424" s="1364"/>
      <c r="D4424" s="1270" t="s">
        <v>2914</v>
      </c>
      <c r="E4424" s="1371"/>
      <c r="F4424" s="1371"/>
      <c r="G4424" s="1371"/>
      <c r="H4424" s="1371"/>
      <c r="I4424" s="1371"/>
      <c r="J4424" s="1371"/>
      <c r="K4424" s="1371"/>
      <c r="L4424" s="1372"/>
      <c r="M4424" s="1148"/>
      <c r="N4424" s="1103"/>
      <c r="O4424" s="34"/>
      <c r="P4424" s="308"/>
      <c r="Q4424" s="307"/>
      <c r="R4424" s="309"/>
      <c r="S4424"/>
    </row>
    <row r="4425" spans="1:24" s="59" customFormat="1" ht="30" customHeight="1">
      <c r="A4425" s="1362" t="s">
        <v>322</v>
      </c>
      <c r="B4425" s="1363"/>
      <c r="C4425" s="1364"/>
      <c r="D4425" s="1270" t="s">
        <v>1891</v>
      </c>
      <c r="E4425" s="1371"/>
      <c r="F4425" s="1371"/>
      <c r="G4425" s="1371"/>
      <c r="H4425" s="1371"/>
      <c r="I4425" s="1371"/>
      <c r="J4425" s="1371"/>
      <c r="K4425" s="1371"/>
      <c r="L4425" s="1372"/>
      <c r="M4425" s="1148"/>
      <c r="N4425" s="803"/>
      <c r="P4425" s="308"/>
      <c r="Q4425" s="307"/>
      <c r="R4425" s="309"/>
      <c r="S4425"/>
      <c r="T4425"/>
      <c r="U4425"/>
      <c r="V4425"/>
      <c r="W4425"/>
      <c r="X4425"/>
    </row>
    <row r="4426" spans="1:24" ht="30" customHeight="1">
      <c r="A4426" s="1362" t="s">
        <v>324</v>
      </c>
      <c r="B4426" s="1363"/>
      <c r="C4426" s="1364"/>
      <c r="D4426" s="1270" t="s">
        <v>2300</v>
      </c>
      <c r="E4426" s="1371"/>
      <c r="F4426" s="1371"/>
      <c r="G4426" s="1371"/>
      <c r="H4426" s="1371"/>
      <c r="I4426" s="1371"/>
      <c r="J4426" s="1371"/>
      <c r="K4426" s="1371"/>
      <c r="L4426" s="1372"/>
      <c r="M4426" s="1148"/>
      <c r="N4426" s="1103"/>
      <c r="O4426" s="59"/>
      <c r="P4426" s="283"/>
      <c r="Q4426" s="282"/>
      <c r="R4426" s="284"/>
    </row>
    <row r="4427" spans="1:24" ht="32.25" customHeight="1">
      <c r="A4427" s="1362" t="s">
        <v>325</v>
      </c>
      <c r="B4427" s="1363"/>
      <c r="C4427" s="1364"/>
      <c r="D4427" s="1270" t="s">
        <v>2301</v>
      </c>
      <c r="E4427" s="1371"/>
      <c r="F4427" s="1371"/>
      <c r="G4427" s="1371"/>
      <c r="H4427" s="1371"/>
      <c r="I4427" s="1371"/>
      <c r="J4427" s="1371"/>
      <c r="K4427" s="1371"/>
      <c r="L4427" s="1372"/>
      <c r="M4427" s="1148"/>
      <c r="N4427" s="1103"/>
      <c r="O4427" s="59"/>
      <c r="P4427" s="283"/>
      <c r="Q4427" s="282"/>
      <c r="R4427" s="284"/>
      <c r="T4427" s="59"/>
      <c r="U4427" s="59"/>
      <c r="V4427" s="59"/>
      <c r="W4427" s="59"/>
      <c r="X4427" s="59"/>
    </row>
    <row r="4428" spans="1:24" s="59" customFormat="1" ht="135" customHeight="1" thickBot="1">
      <c r="A4428" s="1498" t="s">
        <v>327</v>
      </c>
      <c r="B4428" s="1499"/>
      <c r="C4428" s="1500"/>
      <c r="D4428" s="1270" t="s">
        <v>2878</v>
      </c>
      <c r="E4428" s="1371"/>
      <c r="F4428" s="1371"/>
      <c r="G4428" s="1371"/>
      <c r="H4428" s="1371"/>
      <c r="I4428" s="1371"/>
      <c r="J4428" s="1371"/>
      <c r="K4428" s="1371"/>
      <c r="L4428" s="1372"/>
      <c r="M4428" s="1148"/>
      <c r="N4428" s="1103"/>
      <c r="P4428" s="308"/>
      <c r="Q4428" s="307"/>
      <c r="R4428" s="309"/>
      <c r="S4428"/>
    </row>
    <row r="4429" spans="1:24" s="59" customFormat="1" ht="30" customHeight="1" thickBot="1">
      <c r="A4429" s="1165"/>
      <c r="B4429" s="1166"/>
      <c r="C4429" s="1166"/>
      <c r="D4429" s="1166"/>
      <c r="E4429" s="1166"/>
      <c r="F4429" s="1166"/>
      <c r="G4429" s="1166"/>
      <c r="H4429" s="1166"/>
      <c r="I4429" s="1166"/>
      <c r="J4429" s="1166"/>
      <c r="K4429" s="1166"/>
      <c r="L4429" s="1167"/>
      <c r="M4429" s="1148"/>
      <c r="N4429" s="1103"/>
      <c r="P4429" s="308"/>
      <c r="Q4429" s="307"/>
      <c r="R4429" s="309"/>
      <c r="S4429"/>
    </row>
    <row r="4430" spans="1:24" s="59" customFormat="1" ht="45" customHeight="1">
      <c r="A4430" s="307"/>
      <c r="M4430" s="1150"/>
      <c r="N4430" s="1103"/>
      <c r="P4430" s="308"/>
      <c r="Q4430" s="307"/>
      <c r="R4430" s="309"/>
      <c r="S4430"/>
    </row>
    <row r="4431" spans="1:24" s="59" customFormat="1" ht="45" customHeight="1">
      <c r="A4431" s="307"/>
      <c r="M4431" s="1150"/>
      <c r="N4431" s="803"/>
      <c r="P4431" s="308"/>
      <c r="Q4431" s="307"/>
      <c r="R4431" s="309"/>
      <c r="S4431"/>
    </row>
    <row r="4432" spans="1:24" s="59" customFormat="1" ht="45" customHeight="1">
      <c r="A4432" s="307"/>
      <c r="M4432" s="1148"/>
      <c r="N4432" s="282"/>
      <c r="P4432" s="308"/>
      <c r="Q4432" s="307"/>
      <c r="R4432" s="309"/>
      <c r="S4432"/>
    </row>
    <row r="4433" spans="1:24" s="59" customFormat="1" ht="45" customHeight="1">
      <c r="A4433" s="307"/>
      <c r="M4433" s="1148"/>
      <c r="N4433" s="282"/>
      <c r="P4433" s="308"/>
      <c r="Q4433" s="307"/>
      <c r="R4433" s="309"/>
      <c r="S4433"/>
    </row>
    <row r="4434" spans="1:24" s="59" customFormat="1" ht="45" customHeight="1">
      <c r="A4434" s="307"/>
      <c r="M4434" s="1148"/>
      <c r="N4434" s="803"/>
      <c r="P4434" s="308"/>
      <c r="Q4434" s="307"/>
      <c r="R4434" s="309"/>
      <c r="S4434"/>
    </row>
    <row r="4435" spans="1:24" s="59" customFormat="1" ht="45" customHeight="1">
      <c r="A4435" s="307"/>
      <c r="M4435" s="1148"/>
      <c r="N4435" s="803"/>
      <c r="P4435" s="308"/>
      <c r="Q4435" s="307"/>
      <c r="R4435" s="309"/>
      <c r="S4435"/>
    </row>
    <row r="4436" spans="1:24" s="59" customFormat="1" ht="45" customHeight="1">
      <c r="A4436" s="307"/>
      <c r="M4436" s="1148"/>
      <c r="N4436" s="803"/>
      <c r="O4436"/>
      <c r="P4436" s="308"/>
      <c r="Q4436" s="307"/>
      <c r="R4436" s="309"/>
      <c r="S4436"/>
    </row>
    <row r="4437" spans="1:24" s="59" customFormat="1" ht="45" customHeight="1">
      <c r="A4437" s="307"/>
      <c r="M4437" s="1151"/>
      <c r="N4437" s="803"/>
      <c r="O4437"/>
      <c r="P4437" s="308"/>
      <c r="Q4437" s="307"/>
      <c r="R4437" s="309"/>
      <c r="S4437"/>
    </row>
    <row r="4438" spans="1:24" s="59" customFormat="1" ht="45" customHeight="1">
      <c r="A4438" s="307"/>
      <c r="M4438" s="1148"/>
      <c r="N4438" s="803"/>
      <c r="O4438"/>
      <c r="P4438" s="308"/>
      <c r="Q4438" s="307"/>
      <c r="R4438" s="309"/>
      <c r="S4438"/>
      <c r="T4438"/>
      <c r="U4438"/>
      <c r="V4438"/>
      <c r="W4438"/>
      <c r="X4438"/>
    </row>
    <row r="4439" spans="1:24" ht="45" customHeight="1">
      <c r="M4439" s="1148"/>
      <c r="N4439" s="803"/>
      <c r="O4439" s="38"/>
      <c r="P4439" s="159"/>
      <c r="Q4439" s="147"/>
      <c r="R4439" s="149"/>
    </row>
    <row r="4440" spans="1:24" ht="45" customHeight="1">
      <c r="M4440" s="1148"/>
      <c r="N4440" s="803"/>
      <c r="O4440" s="59"/>
      <c r="P4440" s="159"/>
      <c r="Q4440" s="147"/>
      <c r="R4440" s="149"/>
    </row>
    <row r="4441" spans="1:24" ht="45" customHeight="1">
      <c r="M4441" s="1148"/>
      <c r="N4441" s="803"/>
      <c r="O4441" s="59"/>
      <c r="P4441" s="159"/>
      <c r="Q4441" s="147"/>
      <c r="R4441" s="149"/>
      <c r="T4441" s="38"/>
      <c r="U4441" s="38"/>
      <c r="V4441" s="38"/>
      <c r="W4441" s="38"/>
      <c r="X4441" s="38"/>
    </row>
    <row r="4442" spans="1:24" s="38" customFormat="1" ht="45" customHeight="1">
      <c r="A4442" s="307"/>
      <c r="B4442" s="59"/>
      <c r="C4442" s="59"/>
      <c r="D4442" s="59"/>
      <c r="E4442" s="59"/>
      <c r="F4442" s="59"/>
      <c r="G4442" s="59"/>
      <c r="H4442" s="59"/>
      <c r="I4442" s="59"/>
      <c r="J4442" s="59"/>
      <c r="K4442" s="59"/>
      <c r="L4442" s="59"/>
      <c r="M4442" s="1148"/>
      <c r="N4442" s="803"/>
      <c r="O4442"/>
      <c r="P4442" s="159"/>
      <c r="Q4442" s="147"/>
      <c r="R4442" s="149"/>
      <c r="T4442"/>
      <c r="U4442"/>
      <c r="V4442"/>
      <c r="W4442"/>
      <c r="X4442"/>
    </row>
    <row r="4443" spans="1:24" ht="45" customHeight="1">
      <c r="M4443" s="1148"/>
      <c r="N4443" s="803"/>
      <c r="O4443" s="25"/>
      <c r="P4443" s="308"/>
      <c r="Q4443" s="307"/>
      <c r="R4443" s="309"/>
      <c r="T4443" s="59"/>
      <c r="U4443" s="59"/>
      <c r="V4443" s="59"/>
      <c r="W4443" s="59"/>
      <c r="X4443" s="59"/>
    </row>
    <row r="4444" spans="1:24" s="59" customFormat="1" ht="45" customHeight="1">
      <c r="A4444" s="307"/>
      <c r="M4444" s="1148"/>
      <c r="N4444" s="803"/>
      <c r="O4444" s="34"/>
      <c r="P4444" s="308"/>
      <c r="Q4444" s="307"/>
      <c r="R4444" s="309"/>
    </row>
    <row r="4445" spans="1:24" s="59" customFormat="1" ht="45" customHeight="1">
      <c r="A4445" s="307"/>
      <c r="M4445" s="1148"/>
      <c r="N4445" s="803"/>
      <c r="O4445" s="34"/>
      <c r="P4445" s="159"/>
      <c r="Q4445" s="147"/>
      <c r="R4445" s="149"/>
      <c r="T4445" s="226"/>
      <c r="U4445" s="226"/>
      <c r="V4445" s="226"/>
      <c r="W4445" s="226"/>
      <c r="X4445" s="226"/>
    </row>
    <row r="4446" spans="1:24" s="226" customFormat="1" ht="45" customHeight="1">
      <c r="A4446" s="307"/>
      <c r="B4446" s="59"/>
      <c r="C4446" s="59"/>
      <c r="D4446" s="59"/>
      <c r="E4446" s="59"/>
      <c r="F4446" s="59"/>
      <c r="G4446" s="59"/>
      <c r="H4446" s="59"/>
      <c r="I4446" s="59"/>
      <c r="J4446" s="59"/>
      <c r="K4446" s="59"/>
      <c r="L4446" s="59"/>
      <c r="M4446" s="1149"/>
      <c r="N4446" s="803"/>
      <c r="O4446"/>
      <c r="P4446" s="229"/>
      <c r="Q4446" s="1103"/>
      <c r="R4446" s="230"/>
      <c r="T4446"/>
      <c r="U4446"/>
      <c r="V4446"/>
      <c r="W4446"/>
      <c r="X4446"/>
    </row>
    <row r="4447" spans="1:24" ht="45" customHeight="1">
      <c r="M4447" s="1148"/>
      <c r="N4447" s="1103"/>
      <c r="O4447" s="59"/>
      <c r="P4447" s="283"/>
      <c r="Q4447" s="282"/>
      <c r="R4447" s="284"/>
    </row>
    <row r="4448" spans="1:24" ht="45" customHeight="1">
      <c r="M4448" s="1148"/>
      <c r="N4448" s="1103"/>
      <c r="O4448" s="59"/>
      <c r="P4448" s="283"/>
      <c r="Q4448" s="282"/>
      <c r="R4448" s="284"/>
    </row>
    <row r="4449" spans="1:24" ht="45" customHeight="1">
      <c r="M4449" s="1148"/>
      <c r="N4449" s="1103"/>
      <c r="O4449" s="59"/>
      <c r="P4449" s="159"/>
      <c r="Q4449" s="147"/>
      <c r="R4449" s="149"/>
      <c r="T4449" s="59"/>
      <c r="U4449" s="59"/>
      <c r="V4449" s="59"/>
      <c r="W4449" s="59"/>
      <c r="X4449" s="59"/>
    </row>
    <row r="4450" spans="1:24" s="59" customFormat="1" ht="45" customHeight="1">
      <c r="A4450" s="307"/>
      <c r="M4450" s="1148"/>
      <c r="N4450" s="1103"/>
      <c r="O4450" s="760"/>
      <c r="P4450" s="308"/>
      <c r="Q4450" s="307"/>
      <c r="R4450" s="309"/>
    </row>
    <row r="4451" spans="1:24" s="59" customFormat="1" ht="45" customHeight="1">
      <c r="A4451" s="307"/>
      <c r="M4451" s="1150"/>
      <c r="N4451" s="803"/>
      <c r="P4451" s="308"/>
      <c r="Q4451" s="307"/>
      <c r="R4451" s="309"/>
    </row>
    <row r="4452" spans="1:24" s="59" customFormat="1" ht="45" customHeight="1">
      <c r="A4452" s="307"/>
      <c r="M4452" s="1150"/>
      <c r="N4452" s="803"/>
      <c r="P4452" s="308"/>
      <c r="Q4452" s="307"/>
      <c r="R4452" s="309"/>
      <c r="T4452" s="760"/>
      <c r="U4452" s="760"/>
      <c r="V4452" s="760"/>
      <c r="W4452" s="760"/>
      <c r="X4452" s="760"/>
    </row>
    <row r="4453" spans="1:24" s="760" customFormat="1" ht="45" customHeight="1">
      <c r="A4453" s="307"/>
      <c r="B4453" s="59"/>
      <c r="C4453" s="59"/>
      <c r="D4453" s="59"/>
      <c r="E4453" s="59"/>
      <c r="F4453" s="59"/>
      <c r="G4453" s="59"/>
      <c r="H4453" s="59"/>
      <c r="I4453" s="59"/>
      <c r="J4453" s="59"/>
      <c r="K4453" s="59"/>
      <c r="L4453" s="59"/>
      <c r="M4453" s="1148"/>
      <c r="N4453" s="282"/>
      <c r="O4453" s="59"/>
      <c r="P4453" s="308"/>
      <c r="Q4453" s="307"/>
      <c r="R4453" s="309"/>
      <c r="T4453" s="59"/>
      <c r="U4453" s="59"/>
      <c r="V4453" s="59"/>
      <c r="W4453" s="59"/>
      <c r="X4453" s="59"/>
    </row>
    <row r="4454" spans="1:24" s="59" customFormat="1" ht="45" customHeight="1">
      <c r="A4454" s="307"/>
      <c r="M4454" s="1148"/>
      <c r="N4454" s="282"/>
      <c r="P4454" s="308"/>
      <c r="Q4454" s="307"/>
      <c r="R4454" s="309"/>
    </row>
    <row r="4455" spans="1:24" s="59" customFormat="1" ht="45" customHeight="1">
      <c r="A4455" s="307"/>
      <c r="M4455" s="1148"/>
      <c r="N4455" s="1103"/>
      <c r="O4455" s="34"/>
      <c r="P4455" s="308"/>
      <c r="Q4455" s="307"/>
      <c r="R4455" s="309"/>
    </row>
    <row r="4456" spans="1:24" s="59" customFormat="1" ht="45" customHeight="1">
      <c r="A4456" s="307"/>
      <c r="M4456" s="1148"/>
      <c r="N4456" s="1103"/>
      <c r="O4456" s="34"/>
      <c r="P4456" s="308"/>
      <c r="Q4456" s="307"/>
      <c r="R4456" s="309"/>
    </row>
    <row r="4457" spans="1:24" s="59" customFormat="1" ht="45" customHeight="1">
      <c r="A4457" s="307"/>
      <c r="M4457" s="1149"/>
      <c r="N4457" s="1103"/>
      <c r="P4457" s="308"/>
      <c r="Q4457" s="307"/>
      <c r="R4457" s="309"/>
      <c r="T4457"/>
      <c r="U4457"/>
      <c r="V4457"/>
      <c r="W4457"/>
      <c r="X4457"/>
    </row>
    <row r="4458" spans="1:24" ht="45" customHeight="1">
      <c r="M4458" s="1148"/>
      <c r="N4458" s="803"/>
      <c r="O4458" s="59"/>
      <c r="P4458" s="283"/>
      <c r="Q4458" s="282"/>
      <c r="R4458" s="284"/>
    </row>
    <row r="4459" spans="1:24" ht="45" customHeight="1">
      <c r="M4459" s="1148"/>
      <c r="N4459" s="803"/>
      <c r="O4459" s="59"/>
      <c r="P4459" s="283"/>
      <c r="Q4459" s="282"/>
      <c r="R4459" s="284"/>
      <c r="T4459" s="59"/>
      <c r="U4459" s="59"/>
      <c r="V4459" s="59"/>
      <c r="W4459" s="59"/>
      <c r="X4459" s="59"/>
    </row>
    <row r="4460" spans="1:24" s="59" customFormat="1" ht="45" customHeight="1">
      <c r="A4460" s="307"/>
      <c r="M4460" s="1148"/>
      <c r="N4460" s="803"/>
      <c r="P4460" s="308"/>
      <c r="Q4460" s="307"/>
      <c r="R4460" s="309"/>
    </row>
    <row r="4461" spans="1:24" s="59" customFormat="1" ht="45" customHeight="1">
      <c r="A4461" s="307"/>
      <c r="M4461" s="1148"/>
      <c r="N4461" s="803"/>
      <c r="P4461" s="308"/>
      <c r="Q4461" s="307"/>
      <c r="R4461" s="309"/>
    </row>
    <row r="4462" spans="1:24" s="59" customFormat="1" ht="45" customHeight="1">
      <c r="A4462" s="307"/>
      <c r="M4462" s="1150"/>
      <c r="N4462" s="803"/>
      <c r="P4462" s="308"/>
      <c r="Q4462" s="307"/>
      <c r="R4462" s="309"/>
    </row>
    <row r="4463" spans="1:24" s="59" customFormat="1" ht="45" customHeight="1">
      <c r="A4463" s="307"/>
      <c r="M4463" s="1150"/>
      <c r="N4463" s="803"/>
      <c r="P4463" s="308"/>
      <c r="Q4463" s="307"/>
      <c r="R4463" s="309"/>
    </row>
    <row r="4464" spans="1:24" s="59" customFormat="1" ht="45" customHeight="1">
      <c r="A4464" s="307"/>
      <c r="M4464" s="1148"/>
      <c r="N4464" s="282"/>
      <c r="P4464" s="308"/>
      <c r="Q4464" s="307"/>
      <c r="R4464" s="309"/>
    </row>
    <row r="4465" spans="1:24" s="59" customFormat="1" ht="45" customHeight="1">
      <c r="A4465" s="307"/>
      <c r="M4465" s="1148"/>
      <c r="N4465" s="282"/>
      <c r="P4465" s="308"/>
      <c r="Q4465" s="307"/>
      <c r="R4465" s="309"/>
    </row>
    <row r="4466" spans="1:24" s="59" customFormat="1" ht="45" customHeight="1">
      <c r="A4466" s="307"/>
      <c r="M4466" s="1148"/>
      <c r="N4466" s="803"/>
      <c r="P4466" s="308"/>
      <c r="Q4466" s="307"/>
      <c r="R4466" s="309"/>
    </row>
    <row r="4467" spans="1:24" s="59" customFormat="1" ht="45" customHeight="1">
      <c r="A4467" s="307"/>
      <c r="M4467" s="1148"/>
      <c r="N4467" s="803"/>
      <c r="P4467" s="308"/>
      <c r="Q4467" s="307"/>
      <c r="R4467" s="309"/>
    </row>
    <row r="4468" spans="1:24" s="59" customFormat="1" ht="45" customHeight="1">
      <c r="A4468" s="307"/>
      <c r="M4468" s="1148"/>
      <c r="N4468" s="803"/>
      <c r="P4468" s="308"/>
      <c r="Q4468" s="307"/>
      <c r="R4468" s="309"/>
    </row>
    <row r="4469" spans="1:24" s="59" customFormat="1" ht="45" customHeight="1">
      <c r="A4469" s="307"/>
      <c r="M4469" s="1148"/>
      <c r="N4469" s="803"/>
      <c r="P4469" s="308"/>
      <c r="Q4469" s="307"/>
      <c r="R4469" s="309"/>
    </row>
    <row r="4470" spans="1:24" s="59" customFormat="1" ht="45" customHeight="1">
      <c r="A4470" s="307"/>
      <c r="M4470" s="1148"/>
      <c r="N4470" s="803"/>
      <c r="P4470" s="308"/>
      <c r="Q4470" s="307"/>
      <c r="R4470" s="309"/>
    </row>
    <row r="4471" spans="1:24" s="59" customFormat="1" ht="45" customHeight="1">
      <c r="A4471" s="307"/>
      <c r="M4471" s="1148"/>
      <c r="N4471" s="803"/>
      <c r="O4471" s="760"/>
      <c r="P4471" s="308"/>
      <c r="Q4471" s="307"/>
      <c r="R4471" s="309"/>
    </row>
    <row r="4472" spans="1:24" s="59" customFormat="1" ht="45" customHeight="1">
      <c r="A4472" s="307"/>
      <c r="M4472" s="1148"/>
      <c r="N4472" s="803"/>
      <c r="P4472" s="308"/>
      <c r="Q4472" s="307"/>
      <c r="R4472" s="309"/>
    </row>
    <row r="4473" spans="1:24" s="59" customFormat="1" ht="45" customHeight="1">
      <c r="A4473" s="307"/>
      <c r="M4473" s="1148"/>
      <c r="N4473" s="803"/>
      <c r="O4473" s="34"/>
      <c r="P4473" s="308"/>
      <c r="Q4473" s="307"/>
      <c r="R4473" s="309"/>
      <c r="T4473" s="760"/>
      <c r="U4473" s="760"/>
      <c r="V4473" s="760"/>
      <c r="W4473" s="760"/>
      <c r="X4473" s="760"/>
    </row>
    <row r="4474" spans="1:24" s="760" customFormat="1" ht="45" customHeight="1">
      <c r="A4474" s="307"/>
      <c r="B4474" s="59"/>
      <c r="C4474" s="59"/>
      <c r="D4474" s="59"/>
      <c r="E4474" s="59"/>
      <c r="F4474" s="59"/>
      <c r="G4474" s="59"/>
      <c r="H4474" s="59"/>
      <c r="I4474" s="59"/>
      <c r="J4474" s="59"/>
      <c r="K4474" s="59"/>
      <c r="L4474" s="59"/>
      <c r="M4474" s="1148"/>
      <c r="N4474" s="803"/>
      <c r="O4474" s="34"/>
      <c r="P4474" s="308"/>
      <c r="Q4474" s="307"/>
      <c r="R4474" s="309"/>
      <c r="T4474" s="59"/>
      <c r="U4474" s="59"/>
      <c r="V4474" s="59"/>
      <c r="W4474" s="59"/>
      <c r="X4474" s="59"/>
    </row>
    <row r="4475" spans="1:24" s="59" customFormat="1" ht="45" customHeight="1">
      <c r="A4475" s="307"/>
      <c r="M4475" s="1148"/>
      <c r="N4475" s="803"/>
      <c r="P4475" s="308"/>
      <c r="Q4475" s="307"/>
      <c r="R4475" s="309"/>
      <c r="T4475"/>
      <c r="U4475"/>
      <c r="V4475"/>
      <c r="W4475"/>
      <c r="X4475"/>
    </row>
    <row r="4476" spans="1:24" ht="45" customHeight="1">
      <c r="M4476" s="1148"/>
      <c r="N4476" s="803"/>
      <c r="O4476" s="59"/>
      <c r="P4476" s="283"/>
      <c r="Q4476" s="282"/>
      <c r="R4476" s="284"/>
    </row>
    <row r="4477" spans="1:24" ht="45" customHeight="1">
      <c r="M4477" s="1148"/>
      <c r="N4477" s="803"/>
      <c r="O4477" s="59"/>
      <c r="P4477" s="283"/>
      <c r="Q4477" s="282"/>
      <c r="R4477" s="284"/>
      <c r="T4477" s="59"/>
      <c r="U4477" s="59"/>
      <c r="V4477" s="59"/>
      <c r="W4477" s="59"/>
      <c r="X4477" s="59"/>
    </row>
    <row r="4478" spans="1:24" s="59" customFormat="1" ht="45" customHeight="1">
      <c r="A4478" s="307"/>
      <c r="M4478" s="1149"/>
      <c r="N4478" s="803"/>
      <c r="P4478" s="308"/>
      <c r="Q4478" s="307"/>
      <c r="R4478" s="309"/>
    </row>
    <row r="4479" spans="1:24" s="59" customFormat="1" ht="45" customHeight="1">
      <c r="A4479" s="307"/>
      <c r="M4479" s="1148"/>
      <c r="N4479" s="803"/>
      <c r="P4479" s="308"/>
      <c r="Q4479" s="307"/>
      <c r="R4479" s="309"/>
    </row>
    <row r="4480" spans="1:24" s="59" customFormat="1" ht="45" customHeight="1">
      <c r="A4480" s="307"/>
      <c r="M4480" s="1150"/>
      <c r="N4480" s="803"/>
      <c r="P4480" s="308"/>
      <c r="Q4480" s="307"/>
      <c r="R4480" s="309"/>
    </row>
    <row r="4481" spans="1:24" s="59" customFormat="1" ht="45" customHeight="1">
      <c r="A4481" s="307"/>
      <c r="M4481" s="1150"/>
      <c r="N4481" s="803"/>
      <c r="P4481" s="308"/>
      <c r="Q4481" s="307"/>
      <c r="R4481" s="309"/>
    </row>
    <row r="4482" spans="1:24" s="59" customFormat="1" ht="45" customHeight="1">
      <c r="A4482" s="307"/>
      <c r="M4482" s="1148"/>
      <c r="N4482" s="282"/>
      <c r="P4482" s="308"/>
      <c r="Q4482" s="307"/>
      <c r="R4482" s="309"/>
    </row>
    <row r="4483" spans="1:24" s="59" customFormat="1" ht="45" customHeight="1">
      <c r="A4483" s="307"/>
      <c r="M4483" s="1148"/>
      <c r="N4483" s="282"/>
      <c r="P4483" s="308"/>
      <c r="Q4483" s="307"/>
      <c r="R4483" s="309"/>
    </row>
    <row r="4484" spans="1:24" s="59" customFormat="1" ht="45" customHeight="1">
      <c r="A4484" s="307"/>
      <c r="M4484" s="1148"/>
      <c r="N4484" s="803"/>
      <c r="P4484" s="308"/>
      <c r="Q4484" s="307"/>
      <c r="R4484" s="309"/>
    </row>
    <row r="4485" spans="1:24" s="59" customFormat="1" ht="45" customHeight="1">
      <c r="A4485" s="307"/>
      <c r="M4485" s="1148"/>
      <c r="N4485" s="803"/>
      <c r="P4485" s="308"/>
      <c r="Q4485" s="307"/>
      <c r="R4485" s="309"/>
    </row>
    <row r="4486" spans="1:24" s="59" customFormat="1" ht="45" customHeight="1">
      <c r="A4486" s="307"/>
      <c r="M4486" s="1148"/>
      <c r="N4486" s="803"/>
      <c r="P4486" s="308"/>
      <c r="Q4486" s="307"/>
      <c r="R4486" s="309"/>
    </row>
    <row r="4487" spans="1:24" s="59" customFormat="1" ht="45" customHeight="1">
      <c r="A4487" s="307"/>
      <c r="M4487" s="1148"/>
      <c r="N4487" s="803"/>
      <c r="P4487" s="308"/>
      <c r="Q4487" s="307"/>
      <c r="R4487" s="309"/>
    </row>
    <row r="4488" spans="1:24" s="59" customFormat="1" ht="45" customHeight="1">
      <c r="A4488" s="307"/>
      <c r="M4488" s="1148"/>
      <c r="N4488" s="803"/>
      <c r="P4488" s="308"/>
      <c r="Q4488" s="307"/>
      <c r="R4488" s="309"/>
    </row>
    <row r="4489" spans="1:24" s="59" customFormat="1" ht="45" customHeight="1">
      <c r="A4489" s="307"/>
      <c r="M4489" s="1148"/>
      <c r="N4489" s="803"/>
      <c r="O4489" s="760"/>
      <c r="P4489" s="308"/>
      <c r="Q4489" s="307"/>
      <c r="R4489" s="309"/>
    </row>
    <row r="4490" spans="1:24" s="59" customFormat="1" ht="45" customHeight="1">
      <c r="A4490" s="307"/>
      <c r="M4490" s="1148"/>
      <c r="N4490" s="803"/>
      <c r="P4490" s="308"/>
      <c r="Q4490" s="307"/>
      <c r="R4490" s="309"/>
    </row>
    <row r="4491" spans="1:24" s="59" customFormat="1" ht="45" customHeight="1">
      <c r="A4491" s="307"/>
      <c r="M4491" s="1148"/>
      <c r="N4491" s="803"/>
      <c r="O4491" s="34"/>
      <c r="P4491" s="308"/>
      <c r="Q4491" s="307"/>
      <c r="R4491" s="309"/>
      <c r="T4491" s="760"/>
      <c r="U4491" s="760"/>
      <c r="V4491" s="760"/>
      <c r="W4491" s="760"/>
      <c r="X4491" s="760"/>
    </row>
    <row r="4492" spans="1:24" s="760" customFormat="1" ht="45" customHeight="1">
      <c r="A4492" s="307"/>
      <c r="B4492" s="59"/>
      <c r="C4492" s="59"/>
      <c r="D4492" s="59"/>
      <c r="E4492" s="59"/>
      <c r="F4492" s="59"/>
      <c r="G4492" s="59"/>
      <c r="H4492" s="59"/>
      <c r="I4492" s="59"/>
      <c r="J4492" s="59"/>
      <c r="K4492" s="59"/>
      <c r="L4492" s="59"/>
      <c r="M4492" s="1148"/>
      <c r="N4492" s="803"/>
      <c r="O4492" s="34"/>
      <c r="P4492" s="308"/>
      <c r="Q4492" s="307"/>
      <c r="R4492" s="309"/>
      <c r="T4492" s="59"/>
      <c r="U4492" s="59"/>
      <c r="V4492" s="59"/>
      <c r="W4492" s="59"/>
      <c r="X4492" s="59"/>
    </row>
    <row r="4493" spans="1:24" s="59" customFormat="1" ht="45" customHeight="1">
      <c r="A4493" s="307"/>
      <c r="M4493" s="1148"/>
      <c r="N4493" s="803"/>
      <c r="P4493" s="308"/>
      <c r="Q4493" s="307"/>
      <c r="R4493" s="309"/>
      <c r="T4493"/>
      <c r="U4493"/>
      <c r="V4493"/>
      <c r="W4493"/>
      <c r="X4493"/>
    </row>
    <row r="4494" spans="1:24" ht="45" customHeight="1">
      <c r="M4494" s="1148"/>
      <c r="N4494" s="803"/>
      <c r="O4494" s="59"/>
      <c r="P4494" s="283"/>
      <c r="Q4494" s="282"/>
      <c r="R4494" s="284"/>
    </row>
    <row r="4495" spans="1:24" ht="45" customHeight="1">
      <c r="M4495" s="1148"/>
      <c r="N4495" s="803"/>
      <c r="O4495" s="59"/>
      <c r="P4495" s="283"/>
      <c r="Q4495" s="282"/>
      <c r="R4495" s="284"/>
      <c r="T4495" s="59"/>
      <c r="U4495" s="59"/>
      <c r="V4495" s="59"/>
      <c r="W4495" s="59"/>
      <c r="X4495" s="59"/>
    </row>
    <row r="4496" spans="1:24" s="59" customFormat="1" ht="45" customHeight="1">
      <c r="A4496" s="307"/>
      <c r="M4496" s="1149"/>
      <c r="N4496" s="803"/>
      <c r="P4496" s="308"/>
      <c r="Q4496" s="307"/>
      <c r="R4496" s="309"/>
    </row>
    <row r="4497" spans="1:24" s="59" customFormat="1" ht="45" customHeight="1">
      <c r="A4497" s="307"/>
      <c r="M4497" s="1148"/>
      <c r="N4497" s="803"/>
      <c r="P4497" s="308"/>
      <c r="Q4497" s="307"/>
      <c r="R4497" s="309"/>
    </row>
    <row r="4498" spans="1:24" s="59" customFormat="1" ht="45" customHeight="1">
      <c r="A4498" s="307"/>
      <c r="M4498" s="1150"/>
      <c r="N4498" s="803"/>
      <c r="P4498" s="308"/>
      <c r="Q4498" s="307"/>
      <c r="R4498" s="309"/>
    </row>
    <row r="4499" spans="1:24" s="59" customFormat="1" ht="45" customHeight="1">
      <c r="A4499" s="307"/>
      <c r="M4499" s="1150"/>
      <c r="N4499" s="803"/>
      <c r="P4499" s="308"/>
      <c r="Q4499" s="307"/>
      <c r="R4499" s="309"/>
    </row>
    <row r="4500" spans="1:24" s="59" customFormat="1" ht="45" customHeight="1">
      <c r="A4500" s="307"/>
      <c r="M4500" s="1148"/>
      <c r="N4500" s="282"/>
      <c r="O4500" s="226"/>
      <c r="P4500" s="308"/>
      <c r="Q4500" s="307"/>
      <c r="R4500" s="309"/>
    </row>
    <row r="4501" spans="1:24" s="59" customFormat="1" ht="45" customHeight="1">
      <c r="A4501" s="307"/>
      <c r="M4501" s="1148"/>
      <c r="N4501" s="282"/>
      <c r="P4501" s="308"/>
      <c r="Q4501" s="307"/>
      <c r="R4501" s="309"/>
    </row>
    <row r="4502" spans="1:24" s="59" customFormat="1" ht="45" customHeight="1">
      <c r="A4502" s="307"/>
      <c r="M4502" s="1148"/>
      <c r="N4502" s="803"/>
      <c r="P4502" s="308"/>
      <c r="Q4502" s="307"/>
      <c r="R4502" s="309"/>
      <c r="T4502" s="226"/>
      <c r="U4502" s="226"/>
      <c r="V4502" s="226"/>
      <c r="W4502" s="226"/>
      <c r="X4502" s="226"/>
    </row>
    <row r="4503" spans="1:24" s="226" customFormat="1" ht="45" customHeight="1">
      <c r="A4503" s="307"/>
      <c r="B4503" s="59"/>
      <c r="C4503" s="59"/>
      <c r="D4503" s="59"/>
      <c r="E4503" s="59"/>
      <c r="F4503" s="59"/>
      <c r="G4503" s="59"/>
      <c r="H4503" s="59"/>
      <c r="I4503" s="59"/>
      <c r="J4503" s="59"/>
      <c r="K4503" s="59"/>
      <c r="L4503" s="59"/>
      <c r="M4503" s="1148"/>
      <c r="N4503" s="803"/>
      <c r="O4503" s="59"/>
      <c r="P4503" s="817"/>
      <c r="Q4503" s="803"/>
      <c r="R4503" s="818"/>
      <c r="T4503" s="59"/>
      <c r="U4503" s="59"/>
      <c r="V4503" s="59"/>
      <c r="W4503" s="59"/>
      <c r="X4503" s="59"/>
    </row>
    <row r="4504" spans="1:24" s="59" customFormat="1" ht="45" customHeight="1">
      <c r="A4504" s="307"/>
      <c r="M4504" s="1148"/>
      <c r="N4504" s="803"/>
      <c r="P4504" s="308"/>
      <c r="Q4504" s="307"/>
      <c r="R4504" s="309"/>
    </row>
    <row r="4505" spans="1:24" s="59" customFormat="1" ht="45" customHeight="1">
      <c r="A4505" s="307"/>
      <c r="M4505" s="1148"/>
      <c r="N4505" s="803"/>
      <c r="P4505" s="308"/>
      <c r="Q4505" s="307"/>
      <c r="R4505" s="309"/>
    </row>
    <row r="4506" spans="1:24" s="59" customFormat="1" ht="45" customHeight="1">
      <c r="A4506" s="307"/>
      <c r="M4506" s="1148"/>
      <c r="N4506" s="803"/>
      <c r="P4506" s="308"/>
      <c r="Q4506" s="307"/>
      <c r="R4506" s="309"/>
    </row>
    <row r="4507" spans="1:24" s="59" customFormat="1" ht="45" customHeight="1">
      <c r="A4507" s="307"/>
      <c r="M4507" s="1148"/>
      <c r="N4507" s="803"/>
      <c r="O4507" s="760"/>
      <c r="P4507" s="308"/>
      <c r="Q4507" s="307"/>
      <c r="R4507" s="309"/>
    </row>
    <row r="4508" spans="1:24" s="59" customFormat="1" ht="45" customHeight="1">
      <c r="A4508" s="307"/>
      <c r="M4508" s="1148"/>
      <c r="N4508" s="803"/>
      <c r="P4508" s="308"/>
      <c r="Q4508" s="307"/>
      <c r="R4508" s="309"/>
    </row>
    <row r="4509" spans="1:24" s="59" customFormat="1" ht="45" customHeight="1">
      <c r="A4509" s="307"/>
      <c r="M4509" s="1148"/>
      <c r="N4509" s="803"/>
      <c r="P4509" s="308"/>
      <c r="Q4509" s="307"/>
      <c r="R4509" s="309"/>
      <c r="T4509" s="760"/>
      <c r="U4509" s="760"/>
      <c r="V4509" s="760"/>
      <c r="W4509" s="760"/>
      <c r="X4509" s="760"/>
    </row>
    <row r="4510" spans="1:24" s="760" customFormat="1" ht="45" customHeight="1">
      <c r="A4510" s="307"/>
      <c r="B4510" s="59"/>
      <c r="C4510" s="59"/>
      <c r="D4510" s="59"/>
      <c r="E4510" s="59"/>
      <c r="F4510" s="59"/>
      <c r="G4510" s="59"/>
      <c r="H4510" s="59"/>
      <c r="I4510" s="59"/>
      <c r="J4510" s="59"/>
      <c r="K4510" s="59"/>
      <c r="L4510" s="59"/>
      <c r="M4510" s="1148"/>
      <c r="N4510" s="803"/>
      <c r="O4510" s="59"/>
      <c r="P4510" s="308"/>
      <c r="Q4510" s="307"/>
      <c r="R4510" s="309"/>
      <c r="T4510" s="59"/>
      <c r="U4510" s="59"/>
      <c r="V4510" s="59"/>
      <c r="W4510" s="59"/>
      <c r="X4510" s="59"/>
    </row>
    <row r="4511" spans="1:24" s="59" customFormat="1" ht="45" customHeight="1">
      <c r="A4511" s="307"/>
      <c r="M4511" s="1148"/>
      <c r="N4511" s="803"/>
      <c r="P4511" s="308"/>
      <c r="Q4511" s="307"/>
      <c r="R4511" s="309"/>
    </row>
    <row r="4512" spans="1:24" s="59" customFormat="1" ht="45" customHeight="1">
      <c r="A4512" s="307"/>
      <c r="M4512" s="1148"/>
      <c r="N4512" s="803"/>
      <c r="O4512" s="34"/>
      <c r="P4512" s="308"/>
      <c r="Q4512" s="307"/>
      <c r="R4512" s="309"/>
    </row>
    <row r="4513" spans="1:24" s="59" customFormat="1" ht="45" customHeight="1">
      <c r="A4513" s="307"/>
      <c r="M4513" s="1148"/>
      <c r="N4513" s="803"/>
      <c r="O4513" s="34"/>
      <c r="P4513" s="308"/>
      <c r="Q4513" s="307"/>
      <c r="R4513" s="309"/>
    </row>
    <row r="4514" spans="1:24" s="59" customFormat="1" ht="45" customHeight="1">
      <c r="A4514" s="307"/>
      <c r="M4514" s="1149"/>
      <c r="N4514" s="803"/>
      <c r="P4514" s="308"/>
      <c r="Q4514" s="307"/>
      <c r="R4514" s="309"/>
      <c r="T4514"/>
      <c r="U4514"/>
      <c r="V4514"/>
      <c r="W4514"/>
      <c r="X4514"/>
    </row>
    <row r="4515" spans="1:24" ht="45" customHeight="1">
      <c r="M4515" s="1148"/>
      <c r="N4515" s="803"/>
      <c r="O4515" s="59"/>
      <c r="P4515" s="283"/>
      <c r="Q4515" s="282"/>
      <c r="R4515" s="284"/>
    </row>
    <row r="4516" spans="1:24" ht="45" customHeight="1">
      <c r="M4516" s="1148"/>
      <c r="N4516" s="803"/>
      <c r="O4516" s="59"/>
      <c r="P4516" s="283"/>
      <c r="Q4516" s="282"/>
      <c r="R4516" s="284"/>
      <c r="T4516" s="59"/>
      <c r="U4516" s="59"/>
      <c r="V4516" s="59"/>
      <c r="W4516" s="59"/>
      <c r="X4516" s="59"/>
    </row>
    <row r="4517" spans="1:24" s="59" customFormat="1" ht="45" customHeight="1">
      <c r="A4517" s="307"/>
      <c r="M4517" s="1148"/>
      <c r="N4517" s="803"/>
      <c r="P4517" s="308"/>
      <c r="Q4517" s="307"/>
      <c r="R4517" s="309"/>
    </row>
    <row r="4518" spans="1:24" s="59" customFormat="1" ht="45" customHeight="1">
      <c r="A4518" s="307"/>
      <c r="M4518" s="1148"/>
      <c r="N4518" s="803"/>
      <c r="P4518" s="308"/>
      <c r="Q4518" s="307"/>
      <c r="R4518" s="309"/>
    </row>
    <row r="4519" spans="1:24" s="59" customFormat="1" ht="45" customHeight="1">
      <c r="A4519" s="307"/>
      <c r="M4519" s="1150"/>
      <c r="N4519" s="803"/>
      <c r="P4519" s="308"/>
      <c r="Q4519" s="307"/>
      <c r="R4519" s="309"/>
    </row>
    <row r="4520" spans="1:24" s="59" customFormat="1" ht="45" customHeight="1">
      <c r="A4520" s="307"/>
      <c r="M4520" s="1150"/>
      <c r="N4520" s="803"/>
      <c r="P4520" s="308"/>
      <c r="Q4520" s="307"/>
      <c r="R4520" s="309"/>
    </row>
    <row r="4521" spans="1:24" s="59" customFormat="1" ht="45" customHeight="1">
      <c r="A4521" s="307"/>
      <c r="M4521" s="1148"/>
      <c r="N4521" s="282"/>
      <c r="P4521" s="308"/>
      <c r="Q4521" s="307"/>
      <c r="R4521" s="309"/>
    </row>
    <row r="4522" spans="1:24" s="59" customFormat="1" ht="45" customHeight="1">
      <c r="A4522" s="307"/>
      <c r="M4522" s="1148"/>
      <c r="N4522" s="282"/>
      <c r="P4522" s="308"/>
      <c r="Q4522" s="307"/>
      <c r="R4522" s="309"/>
    </row>
    <row r="4523" spans="1:24" s="59" customFormat="1" ht="45" customHeight="1">
      <c r="A4523" s="307"/>
      <c r="M4523" s="1148"/>
      <c r="N4523" s="803"/>
      <c r="P4523" s="308"/>
      <c r="Q4523" s="307"/>
      <c r="R4523" s="309"/>
    </row>
    <row r="4524" spans="1:24" s="59" customFormat="1" ht="45" customHeight="1">
      <c r="A4524" s="307"/>
      <c r="M4524" s="1148"/>
      <c r="N4524" s="803"/>
      <c r="O4524" s="1119"/>
      <c r="P4524" s="308"/>
      <c r="Q4524" s="307"/>
      <c r="R4524" s="309"/>
    </row>
    <row r="4525" spans="1:24" s="59" customFormat="1" ht="45" customHeight="1">
      <c r="A4525" s="307"/>
      <c r="M4525" s="1148"/>
      <c r="N4525" s="657"/>
      <c r="O4525" s="1119"/>
      <c r="P4525" s="308"/>
      <c r="Q4525" s="307"/>
      <c r="R4525" s="309"/>
    </row>
    <row r="4526" spans="1:24" s="59" customFormat="1" ht="45" customHeight="1">
      <c r="A4526" s="307"/>
      <c r="M4526" s="1148"/>
      <c r="N4526" s="803"/>
      <c r="O4526" s="33"/>
      <c r="P4526" s="308"/>
      <c r="Q4526" s="307"/>
      <c r="R4526" s="309"/>
      <c r="T4526" s="44"/>
      <c r="U4526" s="34"/>
      <c r="V4526"/>
      <c r="W4526"/>
      <c r="X4526"/>
    </row>
    <row r="4527" spans="1:24" ht="45" customHeight="1">
      <c r="M4527" s="1148"/>
      <c r="N4527" s="803"/>
      <c r="P4527" s="34"/>
      <c r="Q4527" s="34"/>
      <c r="R4527" s="34"/>
      <c r="S4527" s="44"/>
      <c r="T4527" s="44"/>
      <c r="U4527" s="34"/>
    </row>
    <row r="4528" spans="1:24" ht="45" customHeight="1">
      <c r="M4528" s="1148"/>
      <c r="N4528" s="803"/>
      <c r="P4528" s="34"/>
      <c r="Q4528" s="34"/>
      <c r="R4528" s="34"/>
      <c r="S4528" s="44"/>
      <c r="T4528" s="32"/>
      <c r="U4528" s="32"/>
      <c r="V4528" s="32"/>
      <c r="W4528" s="32"/>
      <c r="X4528" s="32"/>
    </row>
    <row r="4529" spans="1:24" s="32" customFormat="1" ht="45" customHeight="1">
      <c r="A4529" s="307"/>
      <c r="B4529" s="59"/>
      <c r="C4529" s="59"/>
      <c r="D4529" s="59"/>
      <c r="E4529" s="59"/>
      <c r="F4529" s="59"/>
      <c r="G4529" s="59"/>
      <c r="H4529" s="59"/>
      <c r="I4529" s="59"/>
      <c r="J4529" s="59"/>
      <c r="K4529" s="59"/>
      <c r="L4529" s="59"/>
      <c r="M4529" s="1148"/>
      <c r="N4529" s="803"/>
      <c r="O4529"/>
      <c r="T4529" s="38"/>
      <c r="U4529" s="38"/>
      <c r="V4529" s="38"/>
      <c r="W4529" s="38"/>
      <c r="X4529" s="38"/>
    </row>
    <row r="4530" spans="1:24" s="38" customFormat="1" ht="45" customHeight="1">
      <c r="A4530" s="307"/>
      <c r="B4530" s="59"/>
      <c r="C4530" s="59"/>
      <c r="D4530" s="59"/>
      <c r="E4530" s="59"/>
      <c r="F4530" s="59"/>
      <c r="G4530" s="59"/>
      <c r="H4530" s="59"/>
      <c r="I4530" s="59"/>
      <c r="J4530" s="59"/>
      <c r="K4530" s="59"/>
      <c r="L4530" s="59"/>
      <c r="M4530" s="1148"/>
      <c r="N4530" s="803"/>
      <c r="O4530"/>
      <c r="T4530"/>
      <c r="U4530"/>
      <c r="V4530"/>
      <c r="W4530"/>
      <c r="X4530"/>
    </row>
    <row r="4531" spans="1:24" ht="45" customHeight="1">
      <c r="M4531" s="1148"/>
      <c r="N4531" s="803"/>
      <c r="O4531"/>
    </row>
    <row r="4532" spans="1:24" ht="45" customHeight="1">
      <c r="M4532" s="1148"/>
      <c r="N4532" s="803"/>
      <c r="O4532" s="38"/>
    </row>
    <row r="4533" spans="1:24" ht="45" customHeight="1">
      <c r="N4533" s="803"/>
      <c r="O4533"/>
    </row>
    <row r="4534" spans="1:24" ht="45" customHeight="1">
      <c r="M4534" s="1146"/>
      <c r="N4534" s="803"/>
      <c r="O4534"/>
      <c r="T4534" s="38"/>
      <c r="U4534" s="38"/>
      <c r="V4534" s="38"/>
      <c r="W4534" s="38"/>
      <c r="X4534" s="38"/>
    </row>
    <row r="4535" spans="1:24" s="38" customFormat="1" ht="45" customHeight="1">
      <c r="A4535" s="307"/>
      <c r="B4535" s="59"/>
      <c r="C4535" s="59"/>
      <c r="D4535" s="59"/>
      <c r="E4535" s="59"/>
      <c r="F4535" s="59"/>
      <c r="G4535" s="59"/>
      <c r="H4535" s="59"/>
      <c r="I4535" s="59"/>
      <c r="J4535" s="59"/>
      <c r="K4535" s="59"/>
      <c r="L4535" s="59"/>
      <c r="M4535" s="1145"/>
      <c r="N4535" s="25"/>
      <c r="O4535"/>
      <c r="T4535"/>
      <c r="U4535"/>
      <c r="V4535"/>
      <c r="W4535"/>
      <c r="X4535"/>
    </row>
    <row r="4536" spans="1:24" ht="45" customHeight="1">
      <c r="N4536" s="193"/>
      <c r="O4536"/>
    </row>
    <row r="4537" spans="1:24" ht="45" customHeight="1">
      <c r="M4537" s="12"/>
      <c r="N4537" s="125"/>
      <c r="O4537"/>
    </row>
    <row r="4538" spans="1:24" ht="45" customHeight="1">
      <c r="O4538"/>
    </row>
    <row r="4539" spans="1:24" ht="45" customHeight="1">
      <c r="M4539" s="1146"/>
      <c r="O4539"/>
    </row>
    <row r="4540" spans="1:24" ht="45" customHeight="1">
      <c r="O4540"/>
    </row>
    <row r="4541" spans="1:24" ht="45" customHeight="1">
      <c r="N4541" s="193"/>
      <c r="O4541"/>
    </row>
    <row r="4542" spans="1:24" ht="45" customHeight="1">
      <c r="O4542"/>
    </row>
    <row r="4543" spans="1:24" ht="45" customHeight="1">
      <c r="O4543"/>
    </row>
    <row r="4544" spans="1:24" ht="45" customHeight="1">
      <c r="O4544"/>
    </row>
    <row r="4545" spans="1:24" ht="45" customHeight="1">
      <c r="M4545" s="1152"/>
      <c r="O4545"/>
    </row>
    <row r="4546" spans="1:24" ht="45" customHeight="1">
      <c r="O4546" s="59"/>
    </row>
    <row r="4547" spans="1:24" ht="45" customHeight="1">
      <c r="N4547" s="826"/>
      <c r="O4547"/>
    </row>
    <row r="4548" spans="1:24" ht="45" customHeight="1">
      <c r="O4548"/>
    </row>
    <row r="4549" spans="1:24" ht="45" customHeight="1">
      <c r="O4549" s="38"/>
      <c r="P4549" s="308"/>
      <c r="Q4549" s="307"/>
      <c r="R4549" s="309"/>
    </row>
    <row r="4550" spans="1:24" ht="45" customHeight="1">
      <c r="O4550"/>
      <c r="P4550" s="159"/>
      <c r="Q4550" s="147"/>
      <c r="R4550" s="149"/>
    </row>
    <row r="4551" spans="1:24" ht="45" customHeight="1">
      <c r="O4551"/>
      <c r="P4551" s="159"/>
      <c r="Q4551" s="147"/>
      <c r="R4551" s="149"/>
      <c r="T4551" s="760"/>
      <c r="U4551" s="760"/>
      <c r="V4551" s="760"/>
      <c r="W4551" s="760"/>
      <c r="X4551" s="760"/>
    </row>
    <row r="4552" spans="1:24" s="760" customFormat="1" ht="45" customHeight="1">
      <c r="A4552" s="307"/>
      <c r="B4552" s="59"/>
      <c r="C4552" s="59"/>
      <c r="D4552" s="59"/>
      <c r="E4552" s="59"/>
      <c r="F4552" s="59"/>
      <c r="G4552" s="59"/>
      <c r="H4552" s="59"/>
      <c r="I4552" s="59"/>
      <c r="J4552" s="59"/>
      <c r="K4552" s="59"/>
      <c r="L4552" s="59"/>
      <c r="M4552" s="142"/>
      <c r="N4552" s="25"/>
      <c r="O4552" s="34"/>
      <c r="P4552" s="159"/>
      <c r="Q4552" s="147"/>
      <c r="R4552" s="149"/>
      <c r="S4552" s="38"/>
      <c r="T4552"/>
      <c r="U4552"/>
      <c r="V4552"/>
      <c r="W4552"/>
      <c r="X4552"/>
    </row>
    <row r="4553" spans="1:24" ht="45" customHeight="1">
      <c r="O4553" s="34"/>
      <c r="P4553" s="159"/>
      <c r="Q4553" s="147"/>
      <c r="R4553" s="149"/>
    </row>
    <row r="4554" spans="1:24" ht="45" customHeight="1">
      <c r="O4554"/>
      <c r="P4554" s="159"/>
      <c r="Q4554" s="147"/>
      <c r="R4554" s="149"/>
    </row>
    <row r="4555" spans="1:24" ht="45" customHeight="1">
      <c r="M4555" s="1148"/>
      <c r="O4555" s="59"/>
      <c r="P4555" s="283"/>
      <c r="Q4555" s="282"/>
      <c r="R4555" s="284"/>
    </row>
    <row r="4556" spans="1:24" ht="45" customHeight="1">
      <c r="M4556" s="1153"/>
      <c r="N4556" s="951"/>
      <c r="O4556" s="59"/>
      <c r="P4556" s="283"/>
      <c r="Q4556" s="282"/>
      <c r="R4556" s="284"/>
    </row>
    <row r="4557" spans="1:24" ht="45" customHeight="1">
      <c r="M4557" s="1153"/>
      <c r="N4557" s="827"/>
      <c r="O4557"/>
      <c r="P4557" s="159"/>
      <c r="Q4557" s="147"/>
      <c r="R4557" s="149"/>
      <c r="S4557" s="59"/>
    </row>
    <row r="4558" spans="1:24" ht="45" customHeight="1">
      <c r="M4558" s="1148"/>
      <c r="N4558" s="1103"/>
      <c r="O4558" s="38"/>
      <c r="P4558" s="308"/>
      <c r="Q4558" s="307"/>
      <c r="R4558" s="309"/>
    </row>
    <row r="4559" spans="1:24" ht="45" customHeight="1">
      <c r="M4559" s="1150"/>
      <c r="N4559" s="1103"/>
      <c r="O4559"/>
      <c r="P4559" s="308"/>
      <c r="Q4559" s="307"/>
      <c r="R4559" s="309"/>
    </row>
    <row r="4560" spans="1:24" ht="45" customHeight="1">
      <c r="M4560" s="1150"/>
      <c r="N4560" s="1103"/>
      <c r="O4560" s="34"/>
      <c r="P4560" s="159"/>
      <c r="Q4560" s="147"/>
      <c r="R4560" s="149"/>
      <c r="T4560" s="760"/>
      <c r="U4560" s="760"/>
      <c r="V4560" s="760"/>
      <c r="W4560" s="760"/>
      <c r="X4560" s="760"/>
    </row>
    <row r="4561" spans="1:24" s="760" customFormat="1" ht="45" customHeight="1">
      <c r="A4561" s="307"/>
      <c r="B4561" s="59"/>
      <c r="C4561" s="59"/>
      <c r="D4561" s="59"/>
      <c r="E4561" s="59"/>
      <c r="F4561" s="59"/>
      <c r="G4561" s="59"/>
      <c r="H4561" s="59"/>
      <c r="I4561" s="59"/>
      <c r="J4561" s="59"/>
      <c r="K4561" s="59"/>
      <c r="L4561" s="59"/>
      <c r="M4561" s="1148"/>
      <c r="N4561" s="282"/>
      <c r="O4561" s="34"/>
      <c r="P4561" s="159"/>
      <c r="Q4561" s="147"/>
      <c r="R4561" s="149"/>
      <c r="S4561" s="38"/>
      <c r="T4561" s="59"/>
      <c r="U4561" s="59"/>
      <c r="V4561" s="59"/>
      <c r="W4561" s="59"/>
      <c r="X4561" s="59"/>
    </row>
    <row r="4562" spans="1:24" s="59" customFormat="1" ht="45" customHeight="1">
      <c r="A4562" s="307"/>
      <c r="M4562" s="1148"/>
      <c r="N4562" s="282"/>
      <c r="O4562"/>
      <c r="P4562" s="159"/>
      <c r="Q4562" s="147"/>
      <c r="R4562" s="149"/>
      <c r="S4562"/>
      <c r="T4562"/>
      <c r="U4562"/>
      <c r="V4562"/>
      <c r="W4562"/>
      <c r="X4562"/>
    </row>
    <row r="4563" spans="1:24" ht="45" customHeight="1">
      <c r="M4563" s="1154"/>
      <c r="N4563" s="1103"/>
      <c r="O4563"/>
      <c r="P4563" s="283"/>
      <c r="Q4563" s="282"/>
      <c r="R4563" s="284"/>
    </row>
    <row r="4564" spans="1:24" ht="45" customHeight="1">
      <c r="M4564" s="1148"/>
      <c r="N4564" s="1103"/>
      <c r="O4564"/>
      <c r="P4564" s="283"/>
      <c r="Q4564" s="282"/>
      <c r="R4564" s="284"/>
    </row>
    <row r="4565" spans="1:24" ht="45" customHeight="1">
      <c r="M4565" s="1149"/>
      <c r="N4565" s="1117"/>
      <c r="O4565" s="59"/>
      <c r="P4565" s="159"/>
      <c r="Q4565" s="147"/>
      <c r="R4565" s="149"/>
    </row>
    <row r="4566" spans="1:24" ht="45" customHeight="1">
      <c r="N4566" s="803"/>
      <c r="O4566" s="38"/>
      <c r="P4566" s="159"/>
      <c r="Q4566" s="147"/>
      <c r="R4566" s="149"/>
    </row>
    <row r="4567" spans="1:24" ht="45" customHeight="1">
      <c r="M4567" s="1150"/>
      <c r="N4567" s="803"/>
      <c r="O4567"/>
      <c r="P4567" s="159"/>
      <c r="Q4567" s="147"/>
      <c r="R4567" s="149"/>
    </row>
    <row r="4568" spans="1:24" ht="45" customHeight="1">
      <c r="M4568" s="1150"/>
      <c r="N4568" s="226"/>
      <c r="O4568"/>
      <c r="P4568" s="308"/>
      <c r="Q4568" s="307"/>
      <c r="R4568" s="309"/>
      <c r="T4568" s="38"/>
      <c r="U4568" s="38"/>
      <c r="V4568" s="38"/>
      <c r="W4568" s="38"/>
      <c r="X4568" s="38"/>
    </row>
    <row r="4569" spans="1:24" s="38" customFormat="1" ht="45" customHeight="1">
      <c r="A4569" s="307"/>
      <c r="B4569" s="59"/>
      <c r="C4569" s="59"/>
      <c r="D4569" s="59"/>
      <c r="E4569" s="59"/>
      <c r="F4569" s="59"/>
      <c r="G4569" s="59"/>
      <c r="H4569" s="59"/>
      <c r="I4569" s="59"/>
      <c r="J4569" s="59"/>
      <c r="K4569" s="59"/>
      <c r="L4569" s="59"/>
      <c r="M4569" s="1148"/>
      <c r="N4569" s="282"/>
      <c r="O4569"/>
      <c r="P4569" s="159"/>
      <c r="Q4569" s="147"/>
      <c r="R4569" s="149"/>
      <c r="T4569"/>
      <c r="U4569"/>
      <c r="V4569"/>
      <c r="W4569"/>
      <c r="X4569"/>
    </row>
    <row r="4570" spans="1:24" ht="45" customHeight="1">
      <c r="M4570" s="1148"/>
      <c r="N4570" s="282"/>
      <c r="O4570"/>
      <c r="P4570" s="159"/>
      <c r="Q4570" s="147"/>
      <c r="R4570" s="149"/>
    </row>
    <row r="4571" spans="1:24" ht="45" customHeight="1">
      <c r="M4571" s="1148"/>
      <c r="N4571" s="1103"/>
      <c r="O4571"/>
      <c r="P4571" s="159"/>
      <c r="Q4571" s="147"/>
      <c r="R4571" s="149"/>
    </row>
    <row r="4572" spans="1:24" ht="45" customHeight="1">
      <c r="M4572" s="1155"/>
      <c r="N4572" s="1103"/>
      <c r="O4572"/>
      <c r="P4572" s="159"/>
      <c r="Q4572" s="147"/>
      <c r="R4572" s="149"/>
      <c r="T4572" s="59"/>
      <c r="U4572" s="59"/>
      <c r="V4572" s="59"/>
      <c r="W4572" s="59"/>
      <c r="X4572" s="59"/>
    </row>
    <row r="4573" spans="1:24" s="59" customFormat="1" ht="45" customHeight="1">
      <c r="A4573" s="307"/>
      <c r="M4573" s="1155"/>
      <c r="N4573" s="1103"/>
      <c r="O4573" s="34"/>
      <c r="P4573" s="159"/>
      <c r="Q4573" s="147"/>
      <c r="R4573" s="149"/>
    </row>
    <row r="4574" spans="1:24" s="59" customFormat="1" ht="45" customHeight="1">
      <c r="A4574" s="307"/>
      <c r="M4574" s="1148"/>
      <c r="N4574" s="1099"/>
      <c r="O4574" s="34"/>
      <c r="P4574" s="159"/>
      <c r="Q4574" s="147"/>
      <c r="R4574" s="149"/>
      <c r="S4574"/>
    </row>
    <row r="4575" spans="1:24" s="59" customFormat="1" ht="45" customHeight="1">
      <c r="A4575" s="307"/>
      <c r="M4575" s="1148"/>
      <c r="N4575" s="1099"/>
      <c r="O4575"/>
      <c r="P4575" s="159"/>
      <c r="Q4575" s="147"/>
      <c r="R4575" s="149"/>
      <c r="S4575"/>
      <c r="T4575"/>
      <c r="U4575"/>
      <c r="V4575"/>
      <c r="W4575"/>
      <c r="X4575"/>
    </row>
    <row r="4576" spans="1:24" ht="45" customHeight="1">
      <c r="N4576" s="803"/>
      <c r="O4576" s="59"/>
      <c r="P4576" s="283"/>
      <c r="Q4576" s="282"/>
      <c r="R4576" s="284"/>
    </row>
    <row r="4577" spans="1:24" ht="45" customHeight="1">
      <c r="N4577" s="1103"/>
      <c r="O4577"/>
      <c r="P4577" s="283"/>
      <c r="Q4577" s="282"/>
      <c r="R4577" s="284"/>
    </row>
    <row r="4578" spans="1:24" ht="45" customHeight="1">
      <c r="O4578"/>
      <c r="P4578" s="159"/>
      <c r="Q4578" s="147"/>
      <c r="R4578" s="149"/>
    </row>
    <row r="4579" spans="1:24" ht="45" customHeight="1">
      <c r="N4579" s="226"/>
      <c r="O4579" s="38"/>
      <c r="P4579" s="308"/>
      <c r="Q4579" s="307"/>
      <c r="R4579" s="309"/>
    </row>
    <row r="4580" spans="1:24" ht="45" customHeight="1">
      <c r="M4580" s="1150"/>
      <c r="N4580" s="226"/>
      <c r="O4580"/>
      <c r="P4580" s="159"/>
      <c r="Q4580" s="147"/>
      <c r="R4580" s="149"/>
    </row>
    <row r="4581" spans="1:24" ht="45" customHeight="1">
      <c r="M4581" s="1153"/>
      <c r="N4581" s="612"/>
      <c r="O4581"/>
      <c r="P4581" s="159"/>
      <c r="Q4581" s="147"/>
      <c r="R4581" s="149"/>
      <c r="T4581" s="38"/>
      <c r="U4581" s="38"/>
      <c r="V4581" s="38"/>
      <c r="W4581" s="38"/>
      <c r="X4581" s="38"/>
    </row>
    <row r="4582" spans="1:24" s="38" customFormat="1" ht="45" customHeight="1">
      <c r="A4582" s="307"/>
      <c r="B4582" s="59"/>
      <c r="C4582" s="59"/>
      <c r="D4582" s="59"/>
      <c r="E4582" s="59"/>
      <c r="F4582" s="59"/>
      <c r="G4582" s="59"/>
      <c r="H4582" s="59"/>
      <c r="I4582" s="59"/>
      <c r="J4582" s="59"/>
      <c r="K4582" s="59"/>
      <c r="L4582" s="59"/>
      <c r="M4582" s="1148"/>
      <c r="N4582" s="282"/>
      <c r="O4582"/>
      <c r="P4582" s="159"/>
      <c r="Q4582" s="147"/>
      <c r="R4582" s="149"/>
      <c r="T4582" s="59"/>
      <c r="U4582" s="59"/>
      <c r="V4582" s="59"/>
      <c r="W4582" s="59"/>
      <c r="X4582" s="59"/>
    </row>
    <row r="4583" spans="1:24" s="59" customFormat="1" ht="45" customHeight="1">
      <c r="A4583" s="307"/>
      <c r="M4583" s="1148"/>
      <c r="N4583" s="282"/>
      <c r="O4583" s="34"/>
      <c r="P4583" s="159"/>
      <c r="Q4583" s="147"/>
      <c r="R4583" s="149"/>
      <c r="S4583"/>
    </row>
    <row r="4584" spans="1:24" s="59" customFormat="1" ht="45" customHeight="1">
      <c r="A4584" s="307"/>
      <c r="M4584" s="1148"/>
      <c r="N4584" s="1103"/>
      <c r="O4584" s="34"/>
      <c r="P4584" s="159"/>
      <c r="Q4584" s="147"/>
      <c r="R4584" s="149"/>
    </row>
    <row r="4585" spans="1:24" s="59" customFormat="1" ht="45" customHeight="1">
      <c r="A4585" s="307"/>
      <c r="M4585" s="1148"/>
      <c r="N4585" s="1103"/>
      <c r="P4585" s="159"/>
      <c r="Q4585" s="147"/>
      <c r="R4585" s="149"/>
      <c r="T4585"/>
      <c r="U4585"/>
      <c r="V4585"/>
      <c r="W4585"/>
      <c r="X4585"/>
    </row>
    <row r="4586" spans="1:24" ht="45" customHeight="1">
      <c r="M4586" s="1149"/>
      <c r="N4586" s="1103"/>
      <c r="P4586" s="283"/>
      <c r="Q4586" s="282"/>
      <c r="R4586" s="284"/>
    </row>
    <row r="4587" spans="1:24" ht="45" customHeight="1">
      <c r="M4587" s="1148"/>
      <c r="N4587" s="803"/>
      <c r="P4587" s="283"/>
      <c r="Q4587" s="282"/>
      <c r="R4587" s="284"/>
    </row>
    <row r="4588" spans="1:24" ht="45" customHeight="1">
      <c r="M4588" s="1148"/>
      <c r="N4588" s="1103"/>
      <c r="P4588" s="308"/>
      <c r="Q4588" s="307"/>
      <c r="R4588" s="309"/>
      <c r="S4588" s="59"/>
      <c r="T4588" s="44"/>
      <c r="U4588" s="34"/>
    </row>
    <row r="4589" spans="1:24" ht="45" customHeight="1">
      <c r="M4589" s="1148"/>
      <c r="N4589" s="1103"/>
      <c r="P4589" s="34"/>
      <c r="Q4589" s="34"/>
      <c r="R4589" s="34"/>
      <c r="S4589" s="44"/>
      <c r="T4589" s="44"/>
      <c r="U4589" s="34"/>
    </row>
    <row r="4590" spans="1:24" ht="45" customHeight="1">
      <c r="M4590" s="1150"/>
      <c r="N4590" s="1103"/>
      <c r="P4590" s="34"/>
      <c r="Q4590" s="34"/>
      <c r="R4590" s="34"/>
      <c r="S4590" s="44"/>
      <c r="T4590" s="44"/>
      <c r="U4590" s="34"/>
    </row>
    <row r="4591" spans="1:24" ht="45" customHeight="1">
      <c r="M4591" s="1150"/>
      <c r="N4591" s="1103"/>
      <c r="P4591" s="34"/>
      <c r="Q4591" s="34"/>
      <c r="R4591" s="34"/>
      <c r="S4591" s="44"/>
      <c r="T4591" s="84"/>
      <c r="U4591" s="39"/>
      <c r="V4591" s="38"/>
      <c r="W4591" s="38"/>
      <c r="X4591" s="38"/>
    </row>
    <row r="4592" spans="1:24" s="38" customFormat="1" ht="45" customHeight="1">
      <c r="A4592" s="307"/>
      <c r="B4592" s="59"/>
      <c r="C4592" s="59"/>
      <c r="D4592" s="59"/>
      <c r="E4592" s="59"/>
      <c r="F4592" s="59"/>
      <c r="G4592" s="59"/>
      <c r="H4592" s="59"/>
      <c r="I4592" s="59"/>
      <c r="J4592" s="59"/>
      <c r="K4592" s="59"/>
      <c r="L4592" s="59"/>
      <c r="M4592" s="1148"/>
      <c r="N4592" s="282"/>
      <c r="O4592" s="1119"/>
      <c r="P4592" s="39"/>
      <c r="Q4592" s="39"/>
      <c r="R4592" s="39"/>
      <c r="S4592" s="84"/>
      <c r="T4592" s="44"/>
      <c r="U4592" s="34"/>
      <c r="V4592"/>
      <c r="W4592"/>
      <c r="X4592"/>
    </row>
    <row r="4593" spans="1:24" ht="45" customHeight="1">
      <c r="M4593" s="1148"/>
      <c r="N4593" s="282"/>
      <c r="P4593" s="34"/>
      <c r="Q4593" s="34"/>
      <c r="R4593" s="34"/>
      <c r="S4593" s="44"/>
      <c r="T4593" s="44"/>
      <c r="U4593" s="34"/>
    </row>
    <row r="4594" spans="1:24" ht="45" customHeight="1">
      <c r="M4594" s="1148"/>
      <c r="N4594" s="1103"/>
      <c r="P4594" s="34"/>
      <c r="Q4594" s="34"/>
      <c r="R4594" s="34"/>
      <c r="S4594" s="44"/>
      <c r="T4594" s="44"/>
      <c r="U4594" s="34"/>
    </row>
    <row r="4595" spans="1:24" ht="45" customHeight="1">
      <c r="N4595" s="1103"/>
      <c r="P4595" s="34"/>
      <c r="Q4595" s="34"/>
      <c r="R4595" s="34"/>
      <c r="S4595" s="44"/>
      <c r="T4595" s="44"/>
      <c r="U4595" s="34"/>
    </row>
    <row r="4596" spans="1:24" ht="45" customHeight="1">
      <c r="M4596" s="1146"/>
      <c r="N4596" s="803"/>
      <c r="P4596" s="34"/>
      <c r="Q4596" s="34"/>
      <c r="R4596" s="34"/>
      <c r="S4596" s="44"/>
      <c r="T4596" s="44"/>
      <c r="U4596" s="34"/>
    </row>
    <row r="4597" spans="1:24" ht="45" customHeight="1">
      <c r="O4597" s="184"/>
      <c r="P4597" s="34"/>
      <c r="Q4597" s="34"/>
      <c r="R4597" s="34"/>
      <c r="S4597" s="44"/>
      <c r="T4597" s="44"/>
      <c r="U4597" s="34"/>
    </row>
    <row r="4598" spans="1:24" ht="45" customHeight="1">
      <c r="N4598" s="193"/>
      <c r="P4598" s="34"/>
      <c r="Q4598" s="34"/>
      <c r="R4598" s="34"/>
      <c r="S4598" s="44"/>
      <c r="T4598" s="44"/>
      <c r="U4598" s="34"/>
    </row>
    <row r="4599" spans="1:24" ht="45" customHeight="1">
      <c r="N4599" s="963"/>
      <c r="P4599" s="34"/>
      <c r="Q4599" s="34"/>
      <c r="R4599" s="34"/>
      <c r="S4599" s="44"/>
      <c r="T4599" s="44"/>
      <c r="U4599" s="34"/>
    </row>
    <row r="4600" spans="1:24" ht="45" customHeight="1">
      <c r="N4600" s="1120"/>
      <c r="P4600" s="34"/>
      <c r="Q4600" s="34"/>
      <c r="R4600" s="34"/>
      <c r="S4600" s="44"/>
      <c r="T4600" s="44"/>
      <c r="U4600" s="34"/>
    </row>
    <row r="4601" spans="1:24" ht="45" customHeight="1">
      <c r="P4601" s="34"/>
      <c r="Q4601" s="34"/>
      <c r="R4601" s="34"/>
      <c r="S4601" s="44"/>
      <c r="T4601" s="44"/>
      <c r="U4601" s="34"/>
    </row>
    <row r="4602" spans="1:24" ht="45" customHeight="1">
      <c r="O4602" s="59"/>
      <c r="P4602" s="34"/>
      <c r="Q4602" s="34"/>
      <c r="R4602" s="34"/>
      <c r="S4602" s="44"/>
    </row>
    <row r="4603" spans="1:24" ht="45" customHeight="1">
      <c r="O4603"/>
    </row>
    <row r="4604" spans="1:24" ht="45" customHeight="1">
      <c r="O4604"/>
    </row>
    <row r="4605" spans="1:24" ht="45" customHeight="1">
      <c r="O4605" s="38"/>
      <c r="P4605" s="308"/>
      <c r="Q4605" s="307"/>
      <c r="R4605" s="309"/>
    </row>
    <row r="4606" spans="1:24" ht="45" customHeight="1">
      <c r="O4606"/>
      <c r="P4606" s="159"/>
      <c r="Q4606" s="147"/>
      <c r="R4606" s="149"/>
    </row>
    <row r="4607" spans="1:24" ht="45" customHeight="1">
      <c r="O4607"/>
      <c r="P4607" s="159"/>
      <c r="Q4607" s="147"/>
      <c r="R4607" s="149"/>
      <c r="T4607" s="38"/>
      <c r="U4607" s="38"/>
      <c r="V4607" s="38"/>
      <c r="W4607" s="38"/>
      <c r="X4607" s="38"/>
    </row>
    <row r="4608" spans="1:24" s="38" customFormat="1" ht="45" customHeight="1">
      <c r="A4608" s="307"/>
      <c r="B4608" s="59"/>
      <c r="C4608" s="59"/>
      <c r="D4608" s="59"/>
      <c r="E4608" s="59"/>
      <c r="F4608" s="59"/>
      <c r="G4608" s="59"/>
      <c r="H4608" s="59"/>
      <c r="I4608" s="59"/>
      <c r="J4608" s="59"/>
      <c r="K4608" s="59"/>
      <c r="L4608" s="59"/>
      <c r="M4608" s="142"/>
      <c r="N4608" s="25"/>
      <c r="O4608"/>
      <c r="P4608" s="159"/>
      <c r="Q4608" s="147"/>
      <c r="R4608" s="149"/>
      <c r="T4608"/>
      <c r="U4608"/>
      <c r="V4608"/>
      <c r="W4608"/>
      <c r="X4608"/>
    </row>
    <row r="4609" spans="1:24" ht="45" customHeight="1">
      <c r="O4609"/>
      <c r="P4609" s="159"/>
      <c r="Q4609" s="147"/>
      <c r="R4609" s="149"/>
    </row>
    <row r="4610" spans="1:24" ht="45" customHeight="1">
      <c r="O4610"/>
      <c r="P4610" s="159"/>
      <c r="Q4610" s="147"/>
      <c r="R4610" s="149"/>
    </row>
    <row r="4611" spans="1:24" ht="45" customHeight="1">
      <c r="M4611" s="1148"/>
      <c r="O4611"/>
      <c r="P4611" s="159"/>
      <c r="Q4611" s="147"/>
      <c r="R4611" s="149"/>
    </row>
    <row r="4612" spans="1:24" ht="45" customHeight="1">
      <c r="M4612" s="1149"/>
      <c r="O4612"/>
      <c r="P4612" s="159"/>
      <c r="Q4612" s="147"/>
      <c r="R4612" s="149"/>
      <c r="T4612" s="59"/>
      <c r="U4612" s="59"/>
      <c r="V4612" s="59"/>
      <c r="W4612" s="59"/>
      <c r="X4612" s="59"/>
    </row>
    <row r="4613" spans="1:24" s="59" customFormat="1" ht="45" customHeight="1">
      <c r="A4613" s="307"/>
      <c r="M4613" s="142"/>
      <c r="N4613" s="803"/>
      <c r="O4613" s="34"/>
      <c r="P4613" s="159"/>
      <c r="Q4613" s="147"/>
      <c r="R4613" s="149"/>
      <c r="S4613"/>
    </row>
    <row r="4614" spans="1:24" s="59" customFormat="1" ht="45" customHeight="1">
      <c r="A4614" s="307"/>
      <c r="M4614" s="1148"/>
      <c r="N4614" s="1103"/>
      <c r="O4614" s="34"/>
      <c r="P4614" s="159"/>
      <c r="Q4614" s="147"/>
      <c r="R4614" s="149"/>
    </row>
    <row r="4615" spans="1:24" s="59" customFormat="1" ht="45" customHeight="1">
      <c r="A4615" s="307"/>
      <c r="M4615" s="1156"/>
      <c r="N4615" s="25"/>
      <c r="P4615" s="159"/>
      <c r="Q4615" s="147"/>
      <c r="R4615" s="149"/>
      <c r="T4615"/>
      <c r="U4615"/>
      <c r="V4615"/>
      <c r="W4615"/>
      <c r="X4615"/>
    </row>
    <row r="4616" spans="1:24" ht="45" customHeight="1">
      <c r="M4616" s="1148"/>
      <c r="N4616" s="1103"/>
      <c r="O4616"/>
      <c r="P4616" s="283"/>
      <c r="Q4616" s="282"/>
      <c r="R4616" s="284"/>
    </row>
    <row r="4617" spans="1:24" ht="45" customHeight="1">
      <c r="M4617" s="1148"/>
      <c r="N4617" s="1114"/>
      <c r="O4617"/>
      <c r="P4617" s="283"/>
      <c r="Q4617" s="282"/>
      <c r="R4617" s="284"/>
    </row>
    <row r="4618" spans="1:24" ht="45" customHeight="1">
      <c r="M4618" s="1148"/>
      <c r="N4618" s="1103"/>
      <c r="O4618"/>
      <c r="P4618" s="308"/>
      <c r="Q4618" s="307"/>
      <c r="R4618" s="309"/>
      <c r="S4618" s="59"/>
    </row>
    <row r="4619" spans="1:24" ht="45" customHeight="1">
      <c r="M4619" s="1148"/>
      <c r="N4619" s="1103"/>
      <c r="O4619" s="38"/>
      <c r="P4619" s="159"/>
      <c r="Q4619" s="147"/>
      <c r="R4619" s="149"/>
    </row>
    <row r="4620" spans="1:24" ht="45" customHeight="1">
      <c r="M4620" s="1150"/>
      <c r="N4620" s="1103"/>
      <c r="O4620"/>
      <c r="P4620" s="159"/>
      <c r="Q4620" s="147"/>
      <c r="R4620" s="149"/>
    </row>
    <row r="4621" spans="1:24" ht="45" customHeight="1">
      <c r="M4621" s="1150"/>
      <c r="N4621" s="1103"/>
      <c r="O4621"/>
      <c r="P4621" s="159"/>
      <c r="Q4621" s="147"/>
      <c r="R4621" s="149"/>
      <c r="T4621" s="38"/>
      <c r="U4621" s="38"/>
      <c r="V4621" s="38"/>
      <c r="W4621" s="38"/>
      <c r="X4621" s="38"/>
    </row>
    <row r="4622" spans="1:24" s="38" customFormat="1" ht="45" customHeight="1">
      <c r="A4622" s="307"/>
      <c r="B4622" s="59"/>
      <c r="C4622" s="59"/>
      <c r="D4622" s="59"/>
      <c r="E4622" s="59"/>
      <c r="F4622" s="59"/>
      <c r="G4622" s="59"/>
      <c r="H4622" s="59"/>
      <c r="I4622" s="59"/>
      <c r="J4622" s="59"/>
      <c r="K4622" s="59"/>
      <c r="L4622" s="59"/>
      <c r="M4622" s="1148"/>
      <c r="N4622" s="282"/>
      <c r="O4622"/>
      <c r="P4622" s="159"/>
      <c r="Q4622" s="147"/>
      <c r="R4622" s="149"/>
      <c r="T4622"/>
      <c r="U4622"/>
      <c r="V4622"/>
      <c r="W4622"/>
      <c r="X4622"/>
    </row>
    <row r="4623" spans="1:24" ht="45" customHeight="1">
      <c r="M4623" s="1148"/>
      <c r="N4623" s="282"/>
      <c r="O4623"/>
      <c r="P4623" s="159"/>
      <c r="Q4623" s="147"/>
      <c r="R4623" s="149"/>
    </row>
    <row r="4624" spans="1:24" ht="45" customHeight="1">
      <c r="M4624" s="1148"/>
      <c r="N4624" s="1103"/>
      <c r="O4624"/>
      <c r="P4624" s="159"/>
      <c r="Q4624" s="147"/>
      <c r="R4624" s="149"/>
      <c r="T4624" s="59"/>
      <c r="U4624" s="59"/>
      <c r="V4624" s="59"/>
      <c r="W4624" s="59"/>
      <c r="X4624" s="59"/>
    </row>
    <row r="4625" spans="1:24" s="59" customFormat="1" ht="45" customHeight="1">
      <c r="A4625" s="307"/>
      <c r="M4625" s="1148"/>
      <c r="N4625" s="1103"/>
      <c r="O4625"/>
      <c r="P4625" s="159"/>
      <c r="Q4625" s="147"/>
      <c r="R4625" s="149"/>
    </row>
    <row r="4626" spans="1:24" s="59" customFormat="1" ht="45" customHeight="1">
      <c r="A4626" s="307"/>
      <c r="M4626" s="1149"/>
      <c r="N4626" s="803"/>
      <c r="O4626"/>
      <c r="P4626" s="159"/>
      <c r="Q4626" s="147"/>
      <c r="R4626" s="149"/>
      <c r="S4626"/>
      <c r="T4626"/>
      <c r="U4626"/>
      <c r="V4626"/>
      <c r="W4626"/>
      <c r="X4626"/>
    </row>
    <row r="4627" spans="1:24" ht="45" customHeight="1">
      <c r="M4627" s="1148"/>
      <c r="N4627" s="1103"/>
      <c r="O4627"/>
      <c r="P4627" s="159"/>
      <c r="Q4627" s="147"/>
      <c r="R4627" s="149"/>
    </row>
    <row r="4628" spans="1:24" ht="45" customHeight="1">
      <c r="M4628" s="1148"/>
      <c r="N4628" s="1103"/>
      <c r="O4628" s="38"/>
      <c r="P4628" s="159"/>
      <c r="Q4628" s="147"/>
      <c r="R4628" s="149"/>
    </row>
    <row r="4629" spans="1:24" ht="45" customHeight="1">
      <c r="M4629" s="1148"/>
      <c r="N4629" s="1103"/>
      <c r="O4629"/>
      <c r="P4629" s="159"/>
      <c r="Q4629" s="147"/>
      <c r="R4629" s="149"/>
    </row>
    <row r="4630" spans="1:24" ht="45" customHeight="1">
      <c r="M4630" s="1148"/>
      <c r="N4630" s="1103"/>
      <c r="O4630"/>
      <c r="P4630" s="159"/>
      <c r="Q4630" s="147"/>
      <c r="R4630" s="149"/>
      <c r="T4630" s="38"/>
      <c r="U4630" s="38"/>
      <c r="V4630" s="38"/>
      <c r="W4630" s="38"/>
      <c r="X4630" s="38"/>
    </row>
    <row r="4631" spans="1:24" s="38" customFormat="1" ht="45" customHeight="1">
      <c r="A4631" s="307"/>
      <c r="B4631" s="59"/>
      <c r="C4631" s="59"/>
      <c r="D4631" s="59"/>
      <c r="E4631" s="59"/>
      <c r="F4631" s="59"/>
      <c r="G4631" s="59"/>
      <c r="H4631" s="59"/>
      <c r="I4631" s="59"/>
      <c r="J4631" s="59"/>
      <c r="K4631" s="59"/>
      <c r="L4631" s="59"/>
      <c r="M4631" s="1148"/>
      <c r="N4631" s="1103"/>
      <c r="O4631"/>
      <c r="P4631" s="159"/>
      <c r="Q4631" s="147"/>
      <c r="R4631" s="149"/>
      <c r="T4631"/>
      <c r="U4631"/>
      <c r="V4631"/>
      <c r="W4631"/>
      <c r="X4631"/>
    </row>
    <row r="4632" spans="1:24" ht="45" customHeight="1">
      <c r="M4632" s="1148"/>
      <c r="N4632" s="1103"/>
      <c r="O4632" s="59"/>
      <c r="P4632" s="159"/>
      <c r="Q4632" s="147"/>
      <c r="R4632" s="149"/>
    </row>
    <row r="4633" spans="1:24" ht="45" customHeight="1">
      <c r="M4633" s="1148"/>
      <c r="N4633" s="1103"/>
      <c r="O4633" s="59"/>
      <c r="P4633" s="159"/>
      <c r="Q4633" s="147"/>
      <c r="R4633" s="149"/>
      <c r="S4633" s="59"/>
    </row>
    <row r="4634" spans="1:24" ht="45" customHeight="1">
      <c r="M4634" s="1148"/>
      <c r="N4634" s="1103"/>
      <c r="O4634" s="59"/>
      <c r="P4634" s="159"/>
      <c r="Q4634" s="147"/>
      <c r="R4634" s="149"/>
      <c r="S4634" s="59"/>
      <c r="T4634" s="59"/>
      <c r="U4634" s="59"/>
      <c r="V4634" s="59"/>
      <c r="W4634" s="59"/>
      <c r="X4634" s="59"/>
    </row>
    <row r="4635" spans="1:24" s="59" customFormat="1" ht="45" customHeight="1">
      <c r="A4635" s="307"/>
      <c r="M4635" s="1149"/>
      <c r="N4635" s="1103"/>
      <c r="P4635" s="308"/>
      <c r="Q4635" s="307"/>
      <c r="R4635" s="309"/>
      <c r="S4635"/>
    </row>
    <row r="4636" spans="1:24" s="59" customFormat="1" ht="45" customHeight="1">
      <c r="A4636" s="307"/>
      <c r="M4636" s="1148"/>
      <c r="N4636" s="1103"/>
      <c r="P4636" s="308"/>
      <c r="Q4636" s="307"/>
      <c r="R4636" s="309"/>
      <c r="S4636"/>
    </row>
    <row r="4637" spans="1:24" s="59" customFormat="1" ht="45" customHeight="1">
      <c r="A4637" s="307"/>
      <c r="M4637" s="1148"/>
      <c r="N4637" s="1103"/>
      <c r="O4637" s="34"/>
      <c r="P4637" s="308"/>
      <c r="Q4637" s="307"/>
      <c r="R4637" s="309"/>
      <c r="S4637"/>
    </row>
    <row r="4638" spans="1:24" s="59" customFormat="1" ht="45" customHeight="1">
      <c r="A4638" s="307"/>
      <c r="M4638" s="1148"/>
      <c r="N4638" s="1103"/>
      <c r="O4638" s="34"/>
      <c r="P4638" s="308"/>
      <c r="Q4638" s="307"/>
      <c r="R4638" s="309"/>
      <c r="S4638"/>
    </row>
    <row r="4639" spans="1:24" s="59" customFormat="1" ht="45" customHeight="1">
      <c r="A4639" s="307"/>
      <c r="M4639" s="1148"/>
      <c r="N4639" s="1103"/>
      <c r="P4639" s="308"/>
      <c r="Q4639" s="307"/>
      <c r="R4639" s="309"/>
      <c r="S4639"/>
      <c r="T4639"/>
      <c r="U4639"/>
      <c r="V4639"/>
      <c r="W4639"/>
      <c r="X4639"/>
    </row>
    <row r="4640" spans="1:24" ht="45" customHeight="1">
      <c r="M4640" s="1148"/>
      <c r="N4640" s="1103"/>
      <c r="O4640" s="59"/>
      <c r="P4640" s="283"/>
      <c r="Q4640" s="282"/>
      <c r="R4640" s="284"/>
    </row>
    <row r="4641" spans="1:24" ht="45" customHeight="1">
      <c r="M4641" s="1148"/>
      <c r="N4641" s="1103"/>
      <c r="O4641" s="59"/>
      <c r="P4641" s="283"/>
      <c r="Q4641" s="282"/>
      <c r="R4641" s="284"/>
      <c r="T4641" s="59"/>
      <c r="U4641" s="59"/>
      <c r="V4641" s="59"/>
      <c r="W4641" s="59"/>
      <c r="X4641" s="59"/>
    </row>
    <row r="4642" spans="1:24" s="59" customFormat="1" ht="45" customHeight="1">
      <c r="A4642" s="307"/>
      <c r="M4642" s="1148"/>
      <c r="N4642" s="1103"/>
      <c r="O4642" s="743"/>
      <c r="P4642" s="308"/>
      <c r="Q4642" s="307"/>
      <c r="R4642" s="309"/>
      <c r="S4642"/>
    </row>
    <row r="4643" spans="1:24" s="59" customFormat="1" ht="45" customHeight="1">
      <c r="A4643" s="307"/>
      <c r="M4643" s="1148"/>
      <c r="N4643" s="803"/>
      <c r="P4643" s="308"/>
      <c r="Q4643" s="307"/>
      <c r="R4643" s="309"/>
      <c r="S4643"/>
    </row>
    <row r="4644" spans="1:24" s="59" customFormat="1" ht="45" customHeight="1">
      <c r="A4644" s="307"/>
      <c r="M4644" s="1150"/>
      <c r="N4644" s="803"/>
      <c r="P4644" s="308"/>
      <c r="Q4644" s="307"/>
      <c r="R4644" s="309"/>
      <c r="S4644"/>
      <c r="T4644" s="743"/>
      <c r="U4644" s="743"/>
      <c r="V4644" s="743"/>
      <c r="W4644" s="743"/>
      <c r="X4644" s="743"/>
    </row>
    <row r="4645" spans="1:24" s="743" customFormat="1" ht="45" customHeight="1">
      <c r="A4645" s="307"/>
      <c r="B4645" s="59"/>
      <c r="C4645" s="59"/>
      <c r="D4645" s="59"/>
      <c r="E4645" s="59"/>
      <c r="F4645" s="59"/>
      <c r="G4645" s="59"/>
      <c r="H4645" s="59"/>
      <c r="I4645" s="59"/>
      <c r="J4645" s="59"/>
      <c r="K4645" s="59"/>
      <c r="L4645" s="59"/>
      <c r="M4645" s="1150"/>
      <c r="N4645" s="803"/>
      <c r="O4645" s="59"/>
      <c r="P4645" s="838"/>
      <c r="Q4645" s="839"/>
      <c r="R4645" s="840"/>
      <c r="S4645" s="1119"/>
      <c r="T4645" s="59"/>
      <c r="U4645" s="59"/>
      <c r="V4645" s="59"/>
      <c r="W4645" s="59"/>
      <c r="X4645" s="59"/>
    </row>
    <row r="4646" spans="1:24" s="59" customFormat="1" ht="45" customHeight="1">
      <c r="A4646" s="307"/>
      <c r="M4646" s="1148"/>
      <c r="N4646" s="282"/>
      <c r="P4646" s="308"/>
      <c r="Q4646" s="307"/>
      <c r="R4646" s="309"/>
      <c r="S4646"/>
    </row>
    <row r="4647" spans="1:24" s="59" customFormat="1" ht="45" customHeight="1">
      <c r="A4647" s="307"/>
      <c r="M4647" s="1148"/>
      <c r="N4647" s="282"/>
      <c r="P4647" s="308"/>
      <c r="Q4647" s="307"/>
      <c r="R4647" s="309"/>
      <c r="S4647"/>
    </row>
    <row r="4648" spans="1:24" s="59" customFormat="1" ht="45" customHeight="1">
      <c r="A4648" s="307"/>
      <c r="M4648" s="1148"/>
      <c r="N4648" s="803"/>
      <c r="P4648" s="308"/>
      <c r="Q4648" s="307"/>
      <c r="R4648" s="309"/>
      <c r="S4648"/>
    </row>
    <row r="4649" spans="1:24" s="59" customFormat="1" ht="45" customHeight="1">
      <c r="A4649" s="307"/>
      <c r="M4649" s="1157"/>
      <c r="N4649" s="803"/>
      <c r="O4649"/>
      <c r="P4649" s="308"/>
      <c r="Q4649" s="307"/>
      <c r="R4649" s="309"/>
      <c r="S4649"/>
    </row>
    <row r="4650" spans="1:24" s="59" customFormat="1" ht="45" customHeight="1">
      <c r="A4650" s="307"/>
      <c r="M4650" s="1148"/>
      <c r="N4650" s="803"/>
      <c r="O4650"/>
      <c r="P4650" s="308"/>
      <c r="Q4650" s="307"/>
      <c r="R4650" s="309"/>
      <c r="S4650"/>
    </row>
    <row r="4651" spans="1:24" s="59" customFormat="1" ht="45" customHeight="1">
      <c r="A4651" s="307"/>
      <c r="M4651" s="1148"/>
      <c r="N4651" s="1100"/>
      <c r="O4651"/>
      <c r="P4651" s="308"/>
      <c r="Q4651" s="307"/>
      <c r="R4651" s="309"/>
      <c r="S4651"/>
      <c r="T4651"/>
      <c r="U4651"/>
      <c r="V4651"/>
      <c r="W4651"/>
      <c r="X4651"/>
    </row>
    <row r="4652" spans="1:24" ht="45" customHeight="1">
      <c r="M4652" s="1148"/>
      <c r="N4652" s="803"/>
      <c r="O4652"/>
      <c r="P4652" s="159"/>
      <c r="Q4652" s="147"/>
      <c r="R4652" s="149"/>
    </row>
    <row r="4653" spans="1:24" ht="45" customHeight="1">
      <c r="M4653" s="1148"/>
      <c r="N4653" s="803"/>
      <c r="O4653" s="38"/>
      <c r="P4653" s="159"/>
      <c r="Q4653" s="147"/>
      <c r="R4653" s="149"/>
    </row>
    <row r="4654" spans="1:24" ht="45" customHeight="1">
      <c r="M4654" s="1148"/>
      <c r="N4654" s="803"/>
      <c r="O4654" s="59"/>
      <c r="P4654" s="159"/>
      <c r="Q4654" s="147"/>
      <c r="R4654" s="149"/>
    </row>
    <row r="4655" spans="1:24" ht="45" customHeight="1">
      <c r="M4655" s="1148"/>
      <c r="N4655" s="803"/>
      <c r="O4655" s="59"/>
      <c r="P4655" s="159"/>
      <c r="Q4655" s="147"/>
      <c r="R4655" s="149"/>
      <c r="T4655" s="38"/>
      <c r="U4655" s="38"/>
      <c r="V4655" s="38"/>
      <c r="W4655" s="38"/>
      <c r="X4655" s="38"/>
    </row>
    <row r="4656" spans="1:24" s="38" customFormat="1" ht="45" customHeight="1">
      <c r="A4656" s="307"/>
      <c r="B4656" s="59"/>
      <c r="C4656" s="59"/>
      <c r="D4656" s="59"/>
      <c r="E4656" s="59"/>
      <c r="F4656" s="59"/>
      <c r="G4656" s="59"/>
      <c r="H4656" s="59"/>
      <c r="I4656" s="59"/>
      <c r="J4656" s="59"/>
      <c r="K4656" s="59"/>
      <c r="L4656" s="59"/>
      <c r="M4656" s="1148"/>
      <c r="N4656" s="803"/>
      <c r="O4656"/>
      <c r="P4656" s="159"/>
      <c r="Q4656" s="147"/>
      <c r="R4656" s="149"/>
      <c r="T4656"/>
      <c r="U4656"/>
      <c r="V4656"/>
      <c r="W4656"/>
      <c r="X4656"/>
    </row>
    <row r="4657" spans="1:24" ht="45" customHeight="1">
      <c r="M4657" s="1148"/>
      <c r="N4657" s="803"/>
      <c r="O4657"/>
      <c r="P4657" s="308"/>
      <c r="Q4657" s="307"/>
      <c r="R4657" s="309"/>
    </row>
    <row r="4658" spans="1:24" ht="45" customHeight="1">
      <c r="M4658" s="1148"/>
      <c r="N4658" s="803"/>
      <c r="O4658"/>
      <c r="P4658" s="308"/>
      <c r="Q4658" s="307"/>
      <c r="R4658" s="309"/>
      <c r="S4658" s="59"/>
    </row>
    <row r="4659" spans="1:24" ht="45" customHeight="1">
      <c r="M4659" s="1148"/>
      <c r="N4659" s="803"/>
      <c r="O4659"/>
      <c r="P4659" s="159"/>
      <c r="Q4659" s="147"/>
      <c r="R4659" s="149"/>
      <c r="S4659" s="59"/>
    </row>
    <row r="4660" spans="1:24" ht="45" customHeight="1">
      <c r="M4660" s="1149"/>
      <c r="N4660" s="1103"/>
      <c r="O4660"/>
      <c r="P4660" s="159"/>
      <c r="Q4660" s="147"/>
      <c r="R4660" s="149"/>
      <c r="T4660" s="59"/>
      <c r="U4660" s="59"/>
      <c r="V4660" s="59"/>
      <c r="W4660" s="59"/>
      <c r="X4660" s="59"/>
    </row>
    <row r="4661" spans="1:24" s="59" customFormat="1" ht="45" customHeight="1">
      <c r="A4661" s="307"/>
      <c r="M4661" s="1148"/>
      <c r="N4661" s="1103"/>
      <c r="O4661"/>
      <c r="P4661" s="159"/>
      <c r="Q4661" s="147"/>
      <c r="R4661" s="149"/>
      <c r="S4661"/>
    </row>
    <row r="4662" spans="1:24" s="59" customFormat="1" ht="45" customHeight="1">
      <c r="A4662" s="307"/>
      <c r="M4662" s="1148"/>
      <c r="N4662" s="1103"/>
      <c r="O4662" s="34"/>
      <c r="P4662" s="159"/>
      <c r="Q4662" s="147"/>
      <c r="R4662" s="149"/>
      <c r="S4662"/>
    </row>
    <row r="4663" spans="1:24" s="59" customFormat="1" ht="45" customHeight="1">
      <c r="A4663" s="307"/>
      <c r="M4663" s="1148"/>
      <c r="N4663" s="1103"/>
      <c r="O4663" s="34"/>
      <c r="P4663" s="159"/>
      <c r="Q4663" s="147"/>
      <c r="R4663" s="149"/>
      <c r="S4663"/>
    </row>
    <row r="4664" spans="1:24" s="59" customFormat="1" ht="45" customHeight="1">
      <c r="A4664" s="307"/>
      <c r="M4664" s="1148"/>
      <c r="N4664" s="1103"/>
      <c r="O4664"/>
      <c r="P4664" s="159"/>
      <c r="Q4664" s="147"/>
      <c r="R4664" s="149"/>
      <c r="S4664"/>
      <c r="T4664"/>
      <c r="U4664"/>
      <c r="V4664"/>
      <c r="W4664"/>
      <c r="X4664"/>
    </row>
    <row r="4665" spans="1:24" ht="45" customHeight="1">
      <c r="M4665" s="1148"/>
      <c r="N4665" s="803"/>
      <c r="O4665"/>
      <c r="P4665" s="283"/>
      <c r="Q4665" s="282"/>
      <c r="R4665" s="284"/>
    </row>
    <row r="4666" spans="1:24" ht="45" customHeight="1">
      <c r="M4666" s="1148"/>
      <c r="N4666" s="803"/>
      <c r="O4666"/>
      <c r="P4666" s="283"/>
      <c r="Q4666" s="282"/>
      <c r="R4666" s="284"/>
      <c r="T4666" s="59"/>
      <c r="U4666" s="59"/>
      <c r="V4666" s="59"/>
      <c r="W4666" s="59"/>
      <c r="X4666" s="59"/>
    </row>
    <row r="4667" spans="1:24" s="59" customFormat="1" ht="45" customHeight="1">
      <c r="A4667" s="307"/>
      <c r="M4667" s="1148"/>
      <c r="N4667" s="1103"/>
      <c r="O4667"/>
      <c r="P4667" s="159"/>
      <c r="Q4667" s="147"/>
      <c r="R4667" s="149"/>
      <c r="S4667"/>
    </row>
    <row r="4668" spans="1:24" s="59" customFormat="1" ht="45" customHeight="1">
      <c r="A4668" s="307"/>
      <c r="M4668" s="1148"/>
      <c r="N4668" s="1103"/>
      <c r="O4668"/>
      <c r="P4668" s="159"/>
      <c r="Q4668" s="147"/>
      <c r="R4668" s="149"/>
      <c r="S4668"/>
    </row>
    <row r="4669" spans="1:24" s="59" customFormat="1" ht="45" customHeight="1">
      <c r="A4669" s="307"/>
      <c r="M4669" s="1150"/>
      <c r="N4669" s="1103"/>
      <c r="O4669"/>
      <c r="P4669" s="159"/>
      <c r="Q4669" s="147"/>
      <c r="R4669" s="149"/>
      <c r="S4669"/>
    </row>
    <row r="4670" spans="1:24" s="59" customFormat="1" ht="45" customHeight="1">
      <c r="A4670" s="307"/>
      <c r="M4670" s="1158"/>
      <c r="N4670" s="1103"/>
      <c r="O4670"/>
      <c r="P4670" s="159"/>
      <c r="Q4670" s="147"/>
      <c r="R4670" s="149"/>
      <c r="S4670"/>
    </row>
    <row r="4671" spans="1:24" s="59" customFormat="1" ht="45" customHeight="1">
      <c r="A4671" s="307"/>
      <c r="M4671" s="1148"/>
      <c r="N4671" s="282"/>
      <c r="O4671"/>
      <c r="P4671" s="159"/>
      <c r="Q4671" s="147"/>
      <c r="R4671" s="149"/>
      <c r="S4671"/>
    </row>
    <row r="4672" spans="1:24" s="59" customFormat="1" ht="45" customHeight="1">
      <c r="A4672" s="307"/>
      <c r="M4672" s="1148"/>
      <c r="N4672" s="282"/>
      <c r="O4672"/>
      <c r="P4672" s="159"/>
      <c r="Q4672" s="147"/>
      <c r="R4672" s="149"/>
      <c r="S4672"/>
    </row>
    <row r="4673" spans="1:24" s="59" customFormat="1" ht="45" customHeight="1">
      <c r="A4673" s="307"/>
      <c r="M4673" s="1148"/>
      <c r="N4673" s="1103"/>
      <c r="O4673"/>
      <c r="P4673" s="159"/>
      <c r="Q4673" s="147"/>
      <c r="R4673" s="149"/>
      <c r="S4673"/>
    </row>
    <row r="4674" spans="1:24" s="59" customFormat="1" ht="45" customHeight="1">
      <c r="A4674" s="307"/>
      <c r="M4674" s="1148"/>
      <c r="N4674" s="1103"/>
      <c r="O4674"/>
      <c r="P4674" s="159"/>
      <c r="Q4674" s="147"/>
      <c r="R4674" s="149"/>
      <c r="S4674"/>
    </row>
    <row r="4675" spans="1:24" s="59" customFormat="1" ht="45" customHeight="1">
      <c r="A4675" s="307"/>
      <c r="M4675" s="1148"/>
      <c r="N4675" s="1103"/>
      <c r="O4675"/>
      <c r="P4675" s="159"/>
      <c r="Q4675" s="147"/>
      <c r="R4675" s="149"/>
      <c r="S4675"/>
    </row>
    <row r="4676" spans="1:24" s="59" customFormat="1" ht="45" customHeight="1">
      <c r="A4676" s="307"/>
      <c r="M4676" s="1148"/>
      <c r="N4676" s="1103"/>
      <c r="O4676"/>
      <c r="P4676" s="159"/>
      <c r="Q4676" s="147"/>
      <c r="R4676" s="149"/>
      <c r="S4676"/>
    </row>
    <row r="4677" spans="1:24" s="59" customFormat="1" ht="45" customHeight="1">
      <c r="A4677" s="307"/>
      <c r="M4677" s="1148"/>
      <c r="N4677" s="1103"/>
      <c r="O4677"/>
      <c r="P4677" s="159"/>
      <c r="Q4677" s="147"/>
      <c r="R4677" s="149"/>
      <c r="S4677"/>
      <c r="T4677"/>
      <c r="U4677"/>
      <c r="V4677"/>
      <c r="W4677"/>
      <c r="X4677"/>
    </row>
    <row r="4678" spans="1:24" ht="45" customHeight="1">
      <c r="M4678" s="1148"/>
      <c r="N4678" s="1103"/>
      <c r="O4678" s="38"/>
      <c r="P4678" s="159"/>
      <c r="Q4678" s="147"/>
      <c r="R4678" s="149"/>
      <c r="S4678" s="59"/>
    </row>
    <row r="4679" spans="1:24" ht="45" customHeight="1">
      <c r="M4679" s="1148"/>
      <c r="N4679" s="1103"/>
      <c r="O4679"/>
      <c r="P4679" s="159"/>
      <c r="Q4679" s="147"/>
      <c r="R4679" s="149"/>
    </row>
    <row r="4680" spans="1:24" ht="45" customHeight="1">
      <c r="M4680" s="1148"/>
      <c r="N4680" s="1103"/>
      <c r="O4680"/>
      <c r="P4680" s="159"/>
      <c r="Q4680" s="147"/>
      <c r="R4680" s="149"/>
      <c r="T4680" s="38"/>
      <c r="U4680" s="38"/>
      <c r="V4680" s="38"/>
      <c r="W4680" s="38"/>
      <c r="X4680" s="38"/>
    </row>
    <row r="4681" spans="1:24" s="38" customFormat="1" ht="45" customHeight="1">
      <c r="A4681" s="307"/>
      <c r="B4681" s="59"/>
      <c r="C4681" s="59"/>
      <c r="D4681" s="59"/>
      <c r="E4681" s="59"/>
      <c r="F4681" s="59"/>
      <c r="G4681" s="59"/>
      <c r="H4681" s="59"/>
      <c r="I4681" s="59"/>
      <c r="J4681" s="59"/>
      <c r="K4681" s="59"/>
      <c r="L4681" s="59"/>
      <c r="M4681" s="1148"/>
      <c r="N4681" s="1103"/>
      <c r="O4681"/>
      <c r="P4681" s="159"/>
      <c r="Q4681" s="147"/>
      <c r="R4681" s="149"/>
      <c r="T4681"/>
      <c r="U4681"/>
      <c r="V4681"/>
      <c r="W4681"/>
      <c r="X4681"/>
    </row>
    <row r="4682" spans="1:24" ht="45" customHeight="1">
      <c r="M4682" s="1148"/>
      <c r="N4682" s="1103"/>
      <c r="O4682"/>
      <c r="P4682" s="159"/>
      <c r="Q4682" s="147"/>
      <c r="R4682" s="149"/>
    </row>
    <row r="4683" spans="1:24" ht="45" customHeight="1">
      <c r="M4683" s="1148"/>
      <c r="N4683" s="1103"/>
      <c r="O4683" s="59"/>
      <c r="P4683" s="159"/>
      <c r="Q4683" s="147"/>
      <c r="R4683" s="149"/>
    </row>
    <row r="4684" spans="1:24" ht="45" customHeight="1">
      <c r="M4684" s="1148"/>
      <c r="N4684" s="1103"/>
      <c r="O4684" s="59"/>
      <c r="P4684" s="159"/>
      <c r="Q4684" s="147"/>
      <c r="R4684" s="149"/>
    </row>
    <row r="4685" spans="1:24" ht="45" customHeight="1">
      <c r="M4685" s="1149"/>
      <c r="N4685" s="1103"/>
      <c r="O4685" s="34"/>
      <c r="P4685" s="159"/>
      <c r="Q4685" s="147"/>
      <c r="R4685" s="149"/>
      <c r="T4685" s="59"/>
      <c r="U4685" s="59"/>
      <c r="V4685" s="59"/>
      <c r="W4685" s="59"/>
      <c r="X4685" s="59"/>
    </row>
    <row r="4686" spans="1:24" s="59" customFormat="1" ht="45" customHeight="1">
      <c r="A4686" s="307"/>
      <c r="M4686" s="1148"/>
      <c r="N4686" s="1103"/>
      <c r="O4686" s="34"/>
      <c r="P4686" s="308"/>
      <c r="Q4686" s="307"/>
      <c r="R4686" s="309"/>
      <c r="S4686"/>
      <c r="T4686"/>
      <c r="U4686"/>
      <c r="V4686"/>
      <c r="W4686"/>
      <c r="X4686"/>
    </row>
    <row r="4687" spans="1:24" ht="45" customHeight="1">
      <c r="M4687" s="1148"/>
      <c r="N4687" s="1103"/>
      <c r="O4687" s="34"/>
      <c r="P4687" s="308"/>
      <c r="Q4687" s="307"/>
      <c r="R4687" s="309"/>
    </row>
    <row r="4688" spans="1:24" ht="45" customHeight="1">
      <c r="M4688" s="1148"/>
      <c r="N4688" s="1103"/>
      <c r="O4688" s="34"/>
      <c r="P4688" s="283"/>
      <c r="Q4688" s="282"/>
      <c r="R4688" s="284"/>
    </row>
    <row r="4689" spans="1:24" ht="45" customHeight="1">
      <c r="M4689" s="1148"/>
      <c r="N4689" s="1103"/>
      <c r="O4689"/>
      <c r="P4689" s="283"/>
      <c r="Q4689" s="282"/>
      <c r="R4689" s="284"/>
    </row>
    <row r="4690" spans="1:24" ht="45" customHeight="1">
      <c r="M4690" s="1148"/>
      <c r="N4690" s="1103"/>
      <c r="O4690"/>
      <c r="P4690" s="283"/>
      <c r="Q4690" s="282"/>
      <c r="R4690" s="284"/>
    </row>
    <row r="4691" spans="1:24" ht="45" customHeight="1">
      <c r="M4691" s="1148"/>
      <c r="N4691" s="1103"/>
      <c r="O4691"/>
      <c r="P4691" s="283"/>
      <c r="Q4691" s="282"/>
      <c r="R4691" s="284"/>
    </row>
    <row r="4692" spans="1:24" ht="45" customHeight="1">
      <c r="M4692" s="1148"/>
      <c r="N4692" s="1103"/>
      <c r="O4692"/>
      <c r="P4692" s="159"/>
      <c r="Q4692" s="147"/>
      <c r="R4692" s="149"/>
    </row>
    <row r="4693" spans="1:24" ht="45" customHeight="1">
      <c r="M4693" s="1148"/>
      <c r="N4693" s="1103"/>
      <c r="O4693"/>
      <c r="P4693" s="159"/>
      <c r="Q4693" s="147"/>
      <c r="R4693" s="149"/>
    </row>
    <row r="4694" spans="1:24" ht="45" customHeight="1">
      <c r="M4694" s="1150"/>
      <c r="N4694" s="1103"/>
      <c r="O4694"/>
      <c r="P4694" s="159"/>
      <c r="Q4694" s="147"/>
      <c r="R4694" s="149"/>
    </row>
    <row r="4695" spans="1:24" ht="45" customHeight="1">
      <c r="M4695" s="1150"/>
      <c r="N4695" s="803"/>
      <c r="O4695" s="38"/>
      <c r="P4695" s="159"/>
      <c r="Q4695" s="147"/>
      <c r="R4695" s="149"/>
    </row>
    <row r="4696" spans="1:24" ht="45" customHeight="1">
      <c r="M4696" s="1150"/>
      <c r="N4696" s="282"/>
      <c r="O4696"/>
      <c r="P4696" s="159"/>
      <c r="Q4696" s="147"/>
      <c r="R4696" s="149"/>
    </row>
    <row r="4697" spans="1:24" ht="45" customHeight="1">
      <c r="M4697" s="1150"/>
      <c r="N4697" s="282"/>
      <c r="O4697"/>
      <c r="P4697" s="159"/>
      <c r="Q4697" s="147"/>
      <c r="R4697" s="149"/>
      <c r="T4697" s="38"/>
      <c r="U4697" s="38"/>
      <c r="V4697" s="38"/>
      <c r="W4697" s="38"/>
      <c r="X4697" s="38"/>
    </row>
    <row r="4698" spans="1:24" s="38" customFormat="1" ht="45" customHeight="1">
      <c r="A4698" s="307"/>
      <c r="B4698" s="59"/>
      <c r="C4698" s="59"/>
      <c r="D4698" s="59"/>
      <c r="E4698" s="59"/>
      <c r="F4698" s="59"/>
      <c r="G4698" s="59"/>
      <c r="H4698" s="59"/>
      <c r="I4698" s="59"/>
      <c r="J4698" s="59"/>
      <c r="K4698" s="59"/>
      <c r="L4698" s="59"/>
      <c r="M4698" s="1148"/>
      <c r="N4698" s="282"/>
      <c r="O4698"/>
      <c r="P4698" s="159"/>
      <c r="Q4698" s="147"/>
      <c r="R4698" s="149"/>
      <c r="T4698" s="59"/>
      <c r="U4698" s="59"/>
      <c r="V4698" s="59"/>
      <c r="W4698" s="59"/>
      <c r="X4698" s="59"/>
    </row>
    <row r="4699" spans="1:24" s="59" customFormat="1" ht="45" customHeight="1">
      <c r="A4699" s="307"/>
      <c r="M4699" s="1148"/>
      <c r="N4699" s="282"/>
      <c r="O4699" s="34"/>
      <c r="P4699" s="159"/>
      <c r="Q4699" s="147"/>
      <c r="R4699" s="149"/>
      <c r="S4699"/>
    </row>
    <row r="4700" spans="1:24" s="59" customFormat="1" ht="45" customHeight="1">
      <c r="A4700" s="307"/>
      <c r="M4700" s="1148"/>
      <c r="N4700" s="803"/>
      <c r="O4700" s="34"/>
      <c r="P4700" s="159"/>
      <c r="Q4700" s="147"/>
      <c r="R4700" s="149"/>
    </row>
    <row r="4701" spans="1:24" s="59" customFormat="1" ht="45" customHeight="1">
      <c r="A4701" s="307"/>
      <c r="M4701" s="1148"/>
      <c r="N4701" s="803"/>
      <c r="O4701"/>
      <c r="P4701" s="159"/>
      <c r="Q4701" s="147"/>
      <c r="R4701" s="149"/>
      <c r="T4701"/>
      <c r="U4701"/>
      <c r="V4701"/>
      <c r="W4701"/>
      <c r="X4701"/>
    </row>
    <row r="4702" spans="1:24" ht="45" customHeight="1">
      <c r="M4702" s="1149"/>
      <c r="N4702" s="1103"/>
      <c r="O4702"/>
      <c r="P4702" s="283"/>
      <c r="Q4702" s="282"/>
      <c r="R4702" s="284"/>
    </row>
    <row r="4703" spans="1:24" ht="45" customHeight="1">
      <c r="M4703" s="1148"/>
      <c r="N4703" s="1103"/>
      <c r="O4703"/>
      <c r="P4703" s="283"/>
      <c r="Q4703" s="282"/>
      <c r="R4703" s="284"/>
      <c r="T4703" s="59"/>
      <c r="U4703" s="59"/>
      <c r="V4703" s="59"/>
      <c r="W4703" s="59"/>
      <c r="X4703" s="59"/>
    </row>
    <row r="4704" spans="1:24" s="59" customFormat="1" ht="45" customHeight="1">
      <c r="A4704" s="307"/>
      <c r="M4704" s="1148"/>
      <c r="N4704" s="1103"/>
      <c r="O4704"/>
      <c r="P4704" s="159"/>
      <c r="Q4704" s="147"/>
      <c r="R4704" s="149"/>
    </row>
    <row r="4705" spans="1:24" s="59" customFormat="1" ht="45" customHeight="1">
      <c r="A4705" s="307"/>
      <c r="M4705" s="1148"/>
      <c r="N4705" s="1103"/>
      <c r="O4705"/>
      <c r="P4705" s="159"/>
      <c r="Q4705" s="147"/>
      <c r="R4705" s="149"/>
    </row>
    <row r="4706" spans="1:24" s="59" customFormat="1" ht="45" customHeight="1">
      <c r="A4706" s="307"/>
      <c r="M4706" s="1156"/>
      <c r="N4706" s="1103"/>
      <c r="O4706"/>
      <c r="P4706" s="159"/>
      <c r="Q4706" s="147"/>
      <c r="R4706" s="149"/>
    </row>
    <row r="4707" spans="1:24" s="59" customFormat="1" ht="45" customHeight="1">
      <c r="A4707" s="307"/>
      <c r="M4707" s="1150"/>
      <c r="N4707" s="1103"/>
      <c r="O4707"/>
      <c r="P4707" s="159"/>
      <c r="Q4707" s="147"/>
      <c r="R4707" s="149"/>
    </row>
    <row r="4708" spans="1:24" s="59" customFormat="1" ht="45" customHeight="1">
      <c r="A4708" s="307"/>
      <c r="M4708" s="1148"/>
      <c r="N4708" s="657"/>
      <c r="O4708"/>
      <c r="P4708" s="159"/>
      <c r="Q4708" s="147"/>
      <c r="R4708" s="149"/>
    </row>
    <row r="4709" spans="1:24" s="59" customFormat="1" ht="45" customHeight="1">
      <c r="A4709" s="307"/>
      <c r="M4709" s="1148"/>
      <c r="N4709" s="282"/>
      <c r="O4709"/>
      <c r="P4709" s="159"/>
      <c r="Q4709" s="147"/>
      <c r="R4709" s="149"/>
    </row>
    <row r="4710" spans="1:24" s="59" customFormat="1" ht="45" customHeight="1">
      <c r="A4710" s="307"/>
      <c r="M4710" s="1148"/>
      <c r="N4710" s="1103"/>
      <c r="O4710"/>
      <c r="P4710" s="159"/>
      <c r="Q4710" s="147"/>
      <c r="R4710" s="149"/>
    </row>
    <row r="4711" spans="1:24" s="59" customFormat="1" ht="45" customHeight="1">
      <c r="A4711" s="307"/>
      <c r="M4711" s="1148"/>
      <c r="N4711" s="1103"/>
      <c r="O4711"/>
      <c r="P4711" s="159"/>
      <c r="Q4711" s="147"/>
      <c r="R4711" s="149"/>
    </row>
    <row r="4712" spans="1:24" s="59" customFormat="1" ht="45" customHeight="1">
      <c r="A4712" s="307"/>
      <c r="M4712" s="1148"/>
      <c r="N4712" s="1103"/>
      <c r="O4712"/>
      <c r="P4712" s="159"/>
      <c r="Q4712" s="147"/>
      <c r="R4712" s="149"/>
    </row>
    <row r="4713" spans="1:24" s="59" customFormat="1" ht="45" customHeight="1">
      <c r="A4713" s="307"/>
      <c r="M4713" s="1148"/>
      <c r="N4713" s="1103"/>
      <c r="O4713"/>
      <c r="P4713" s="159"/>
      <c r="Q4713" s="147"/>
      <c r="R4713" s="149"/>
    </row>
    <row r="4714" spans="1:24" s="59" customFormat="1" ht="45" customHeight="1">
      <c r="A4714" s="307"/>
      <c r="M4714" s="1148"/>
      <c r="N4714" s="1103"/>
      <c r="O4714"/>
      <c r="P4714" s="159"/>
      <c r="Q4714" s="147"/>
      <c r="R4714" s="149"/>
      <c r="T4714"/>
      <c r="U4714"/>
      <c r="V4714"/>
      <c r="W4714"/>
      <c r="X4714"/>
    </row>
    <row r="4715" spans="1:24" ht="45" customHeight="1">
      <c r="N4715" s="1103"/>
      <c r="O4715" s="38"/>
      <c r="P4715" s="159"/>
      <c r="Q4715" s="147"/>
      <c r="R4715" s="149"/>
    </row>
    <row r="4716" spans="1:24" ht="45" customHeight="1">
      <c r="N4716" s="1103"/>
      <c r="O4716"/>
      <c r="P4716" s="159"/>
      <c r="Q4716" s="147"/>
      <c r="R4716" s="149"/>
    </row>
    <row r="4717" spans="1:24" ht="45" customHeight="1">
      <c r="N4717" s="226"/>
      <c r="O4717"/>
      <c r="P4717" s="159"/>
      <c r="Q4717" s="147"/>
      <c r="R4717" s="149"/>
      <c r="T4717" s="38"/>
      <c r="U4717" s="38"/>
      <c r="V4717" s="38"/>
      <c r="W4717" s="38"/>
      <c r="X4717" s="38"/>
    </row>
    <row r="4718" spans="1:24" s="38" customFormat="1" ht="45" customHeight="1">
      <c r="A4718" s="307"/>
      <c r="B4718" s="59"/>
      <c r="C4718" s="59"/>
      <c r="D4718" s="59"/>
      <c r="E4718" s="59"/>
      <c r="F4718" s="59"/>
      <c r="G4718" s="59"/>
      <c r="H4718" s="59"/>
      <c r="I4718" s="59"/>
      <c r="J4718" s="59"/>
      <c r="K4718" s="59"/>
      <c r="L4718" s="59"/>
      <c r="M4718" s="1148"/>
      <c r="N4718" s="226"/>
      <c r="O4718" s="59"/>
      <c r="P4718" s="159"/>
      <c r="Q4718" s="147"/>
      <c r="R4718" s="149"/>
      <c r="T4718"/>
      <c r="U4718"/>
      <c r="V4718"/>
      <c r="W4718"/>
      <c r="X4718"/>
    </row>
    <row r="4719" spans="1:24" ht="45" customHeight="1">
      <c r="M4719" s="1148"/>
      <c r="N4719" s="226"/>
      <c r="O4719"/>
      <c r="P4719" s="159"/>
      <c r="Q4719" s="147"/>
      <c r="R4719" s="149"/>
      <c r="S4719" s="59"/>
    </row>
    <row r="4720" spans="1:24" ht="45" customHeight="1">
      <c r="M4720" s="1148"/>
      <c r="N4720" s="1103"/>
      <c r="O4720"/>
      <c r="P4720" s="159"/>
      <c r="Q4720" s="147"/>
      <c r="R4720" s="149"/>
      <c r="S4720" s="59"/>
      <c r="T4720" s="59"/>
      <c r="U4720" s="59"/>
      <c r="V4720" s="59"/>
      <c r="W4720" s="59"/>
      <c r="X4720" s="59"/>
    </row>
    <row r="4721" spans="1:24" s="59" customFormat="1" ht="45" customHeight="1">
      <c r="A4721" s="307"/>
      <c r="M4721" s="1148"/>
      <c r="N4721" s="1103"/>
      <c r="O4721" s="34"/>
      <c r="P4721" s="308"/>
      <c r="Q4721" s="307"/>
      <c r="R4721" s="309"/>
      <c r="S4721"/>
      <c r="T4721"/>
      <c r="U4721"/>
      <c r="V4721"/>
      <c r="W4721"/>
      <c r="X4721"/>
    </row>
    <row r="4722" spans="1:24" ht="45" customHeight="1">
      <c r="M4722" s="1149"/>
      <c r="N4722" s="1103"/>
      <c r="O4722" s="34"/>
      <c r="P4722" s="159"/>
      <c r="Q4722" s="147"/>
      <c r="R4722" s="149"/>
    </row>
    <row r="4723" spans="1:24" ht="45" customHeight="1">
      <c r="M4723" s="1148"/>
      <c r="N4723" s="1103"/>
      <c r="O4723"/>
      <c r="P4723" s="159"/>
      <c r="Q4723" s="147"/>
      <c r="R4723" s="149"/>
    </row>
    <row r="4724" spans="1:24" ht="45" customHeight="1">
      <c r="M4724" s="1148"/>
      <c r="N4724" s="1103"/>
      <c r="O4724"/>
      <c r="P4724" s="283"/>
      <c r="Q4724" s="282"/>
      <c r="R4724" s="284"/>
    </row>
    <row r="4725" spans="1:24" ht="45" customHeight="1">
      <c r="M4725" s="1148"/>
      <c r="N4725" s="1103"/>
      <c r="O4725"/>
      <c r="P4725" s="283"/>
      <c r="Q4725" s="282"/>
      <c r="R4725" s="284"/>
    </row>
    <row r="4726" spans="1:24" ht="45" customHeight="1">
      <c r="M4726" s="1148"/>
      <c r="N4726" s="1103"/>
      <c r="O4726"/>
      <c r="P4726" s="159"/>
      <c r="Q4726" s="147"/>
      <c r="R4726" s="149"/>
    </row>
    <row r="4727" spans="1:24" ht="45" customHeight="1">
      <c r="M4727" s="1148"/>
      <c r="N4727" s="1103"/>
      <c r="O4727" s="38"/>
      <c r="P4727" s="159"/>
      <c r="Q4727" s="147"/>
      <c r="R4727" s="149"/>
    </row>
    <row r="4728" spans="1:24" ht="45" customHeight="1">
      <c r="M4728" s="1150"/>
      <c r="N4728" s="1103"/>
      <c r="O4728"/>
      <c r="P4728" s="159"/>
      <c r="Q4728" s="147"/>
      <c r="R4728" s="149"/>
    </row>
    <row r="4729" spans="1:24" ht="45" customHeight="1">
      <c r="M4729" s="1150"/>
      <c r="N4729" s="803"/>
      <c r="O4729" s="34"/>
      <c r="P4729" s="159"/>
      <c r="Q4729" s="147"/>
      <c r="R4729" s="149"/>
      <c r="T4729" s="760"/>
      <c r="U4729" s="760"/>
      <c r="V4729" s="760"/>
      <c r="W4729" s="760"/>
      <c r="X4729" s="760"/>
    </row>
    <row r="4730" spans="1:24" s="760" customFormat="1" ht="45" customHeight="1">
      <c r="A4730" s="307"/>
      <c r="B4730" s="59"/>
      <c r="C4730" s="59"/>
      <c r="D4730" s="59"/>
      <c r="E4730" s="59"/>
      <c r="F4730" s="59"/>
      <c r="G4730" s="59"/>
      <c r="H4730" s="59"/>
      <c r="I4730" s="59"/>
      <c r="J4730" s="59"/>
      <c r="K4730" s="59"/>
      <c r="L4730" s="59"/>
      <c r="M4730" s="1148"/>
      <c r="N4730" s="282"/>
      <c r="O4730" s="34"/>
      <c r="P4730" s="159"/>
      <c r="Q4730" s="147"/>
      <c r="R4730" s="149"/>
      <c r="S4730" s="38"/>
      <c r="T4730" s="59"/>
      <c r="U4730" s="59"/>
      <c r="V4730" s="59"/>
      <c r="W4730" s="59"/>
      <c r="X4730" s="59"/>
    </row>
    <row r="4731" spans="1:24" s="59" customFormat="1" ht="45" customHeight="1">
      <c r="A4731" s="307"/>
      <c r="M4731" s="1148"/>
      <c r="N4731" s="282"/>
      <c r="P4731" s="159"/>
      <c r="Q4731" s="147"/>
      <c r="R4731" s="149"/>
      <c r="S4731"/>
      <c r="T4731"/>
      <c r="U4731"/>
      <c r="V4731"/>
      <c r="W4731"/>
      <c r="X4731"/>
    </row>
    <row r="4732" spans="1:24" ht="45" customHeight="1">
      <c r="M4732" s="1148"/>
      <c r="N4732" s="1103"/>
      <c r="O4732"/>
      <c r="P4732" s="283"/>
      <c r="Q4732" s="282"/>
      <c r="R4732" s="284"/>
    </row>
    <row r="4733" spans="1:24" ht="45" customHeight="1">
      <c r="M4733" s="1148"/>
      <c r="N4733" s="1103"/>
      <c r="O4733"/>
      <c r="P4733" s="283"/>
      <c r="Q4733" s="282"/>
      <c r="R4733" s="284"/>
    </row>
    <row r="4734" spans="1:24" ht="45" customHeight="1">
      <c r="M4734" s="1149"/>
      <c r="N4734" s="1103"/>
      <c r="O4734"/>
      <c r="P4734" s="308"/>
      <c r="Q4734" s="307"/>
      <c r="R4734" s="309"/>
    </row>
    <row r="4735" spans="1:24" ht="45" customHeight="1">
      <c r="M4735" s="1148"/>
      <c r="N4735" s="1103"/>
      <c r="O4735" s="38"/>
      <c r="P4735" s="159"/>
      <c r="Q4735" s="147"/>
      <c r="R4735" s="149"/>
    </row>
    <row r="4736" spans="1:24" ht="45" customHeight="1">
      <c r="M4736" s="1150"/>
      <c r="N4736" s="1103"/>
      <c r="O4736"/>
      <c r="P4736" s="159"/>
      <c r="Q4736" s="147"/>
      <c r="R4736" s="149"/>
    </row>
    <row r="4737" spans="1:24" ht="45" customHeight="1">
      <c r="M4737" s="1150"/>
      <c r="N4737" s="1103"/>
      <c r="O4737" s="34"/>
      <c r="P4737" s="159"/>
      <c r="Q4737" s="147"/>
      <c r="R4737" s="149"/>
      <c r="T4737" s="760"/>
      <c r="U4737" s="760"/>
      <c r="V4737" s="760"/>
      <c r="W4737" s="760"/>
      <c r="X4737" s="760"/>
    </row>
    <row r="4738" spans="1:24" s="760" customFormat="1" ht="45" customHeight="1">
      <c r="A4738" s="307"/>
      <c r="B4738" s="59"/>
      <c r="C4738" s="59"/>
      <c r="D4738" s="59"/>
      <c r="E4738" s="59"/>
      <c r="F4738" s="59"/>
      <c r="G4738" s="59"/>
      <c r="H4738" s="59"/>
      <c r="I4738" s="59"/>
      <c r="J4738" s="59"/>
      <c r="K4738" s="59"/>
      <c r="L4738" s="59"/>
      <c r="M4738" s="1148"/>
      <c r="N4738" s="282"/>
      <c r="O4738" s="34"/>
      <c r="P4738" s="159"/>
      <c r="Q4738" s="147"/>
      <c r="R4738" s="149"/>
      <c r="S4738" s="38"/>
      <c r="T4738" s="59"/>
      <c r="U4738" s="59"/>
      <c r="V4738" s="59"/>
      <c r="W4738" s="59"/>
      <c r="X4738" s="59"/>
    </row>
    <row r="4739" spans="1:24" s="59" customFormat="1" ht="45" customHeight="1">
      <c r="A4739" s="307"/>
      <c r="M4739" s="1148"/>
      <c r="N4739" s="282"/>
      <c r="O4739"/>
      <c r="P4739" s="159"/>
      <c r="Q4739" s="147"/>
      <c r="R4739" s="149"/>
      <c r="S4739"/>
      <c r="T4739"/>
      <c r="U4739"/>
      <c r="V4739"/>
      <c r="W4739"/>
      <c r="X4739"/>
    </row>
    <row r="4740" spans="1:24" ht="45" customHeight="1">
      <c r="M4740" s="1148"/>
      <c r="N4740" s="1103"/>
      <c r="O4740"/>
      <c r="P4740" s="283"/>
      <c r="Q4740" s="282"/>
      <c r="R4740" s="284"/>
    </row>
    <row r="4741" spans="1:24" ht="45" customHeight="1">
      <c r="M4741" s="1148"/>
      <c r="N4741" s="1103"/>
      <c r="O4741"/>
      <c r="P4741" s="283"/>
      <c r="Q4741" s="282"/>
      <c r="R4741" s="284"/>
      <c r="T4741" s="59"/>
      <c r="U4741" s="59"/>
      <c r="V4741" s="59"/>
      <c r="W4741" s="59"/>
      <c r="X4741" s="59"/>
    </row>
    <row r="4742" spans="1:24" s="59" customFormat="1" ht="45" customHeight="1">
      <c r="A4742" s="307"/>
      <c r="M4742" s="1149"/>
      <c r="N4742" s="803"/>
      <c r="P4742" s="159"/>
      <c r="Q4742" s="147"/>
      <c r="R4742" s="149"/>
      <c r="S4742"/>
      <c r="T4742"/>
      <c r="U4742"/>
      <c r="V4742"/>
      <c r="W4742"/>
      <c r="X4742"/>
    </row>
    <row r="4743" spans="1:24" ht="45" customHeight="1">
      <c r="M4743" s="1148"/>
      <c r="N4743" s="1103"/>
      <c r="O4743" s="38"/>
      <c r="P4743" s="159"/>
      <c r="Q4743" s="147"/>
      <c r="R4743" s="149"/>
    </row>
    <row r="4744" spans="1:24" ht="45" customHeight="1">
      <c r="M4744" s="1150"/>
      <c r="N4744" s="1103"/>
      <c r="O4744"/>
      <c r="P4744" s="159"/>
      <c r="Q4744" s="147"/>
      <c r="R4744" s="149"/>
    </row>
    <row r="4745" spans="1:24" ht="45" customHeight="1">
      <c r="M4745" s="1150"/>
      <c r="N4745" s="1103"/>
      <c r="O4745"/>
      <c r="P4745" s="308"/>
      <c r="Q4745" s="307"/>
      <c r="R4745" s="309"/>
      <c r="T4745" s="38"/>
      <c r="U4745" s="38"/>
      <c r="V4745" s="38"/>
      <c r="W4745" s="38"/>
      <c r="X4745" s="38"/>
    </row>
    <row r="4746" spans="1:24" s="38" customFormat="1" ht="45" customHeight="1">
      <c r="A4746" s="307"/>
      <c r="B4746" s="59"/>
      <c r="C4746" s="59"/>
      <c r="D4746" s="59"/>
      <c r="E4746" s="59"/>
      <c r="F4746" s="59"/>
      <c r="G4746" s="59"/>
      <c r="H4746" s="59"/>
      <c r="I4746" s="59"/>
      <c r="J4746" s="59"/>
      <c r="K4746" s="59"/>
      <c r="L4746" s="59"/>
      <c r="M4746" s="1148"/>
      <c r="N4746" s="282"/>
      <c r="O4746"/>
      <c r="P4746" s="159"/>
      <c r="Q4746" s="147"/>
      <c r="R4746" s="149"/>
      <c r="T4746"/>
      <c r="U4746"/>
      <c r="V4746"/>
      <c r="W4746"/>
      <c r="X4746"/>
    </row>
    <row r="4747" spans="1:24" ht="45" customHeight="1">
      <c r="M4747" s="1148"/>
      <c r="N4747" s="282"/>
      <c r="O4747" s="34"/>
      <c r="P4747" s="159"/>
      <c r="Q4747" s="147"/>
      <c r="R4747" s="149"/>
    </row>
    <row r="4748" spans="1:24" ht="45" customHeight="1">
      <c r="M4748" s="1148"/>
      <c r="N4748" s="1103"/>
      <c r="O4748" s="34"/>
      <c r="P4748" s="159"/>
      <c r="Q4748" s="147"/>
      <c r="R4748" s="149"/>
      <c r="S4748" s="59"/>
    </row>
    <row r="4749" spans="1:24" ht="45" customHeight="1">
      <c r="M4749" s="1148"/>
      <c r="N4749" s="1103"/>
      <c r="O4749"/>
      <c r="P4749" s="159"/>
      <c r="Q4749" s="147"/>
      <c r="R4749" s="149"/>
      <c r="S4749" s="59"/>
    </row>
    <row r="4750" spans="1:24" ht="45" customHeight="1">
      <c r="M4750" s="1149"/>
      <c r="N4750" s="1103"/>
      <c r="O4750"/>
      <c r="P4750" s="283"/>
      <c r="Q4750" s="282"/>
      <c r="R4750" s="284"/>
    </row>
    <row r="4751" spans="1:24" ht="45" customHeight="1">
      <c r="M4751" s="1148"/>
      <c r="N4751" s="1103"/>
      <c r="O4751"/>
      <c r="P4751" s="283"/>
      <c r="Q4751" s="282"/>
      <c r="R4751" s="284"/>
    </row>
    <row r="4752" spans="1:24" ht="45" customHeight="1">
      <c r="M4752" s="1148"/>
      <c r="N4752" s="1103"/>
      <c r="O4752"/>
      <c r="P4752" s="159"/>
      <c r="Q4752" s="147"/>
      <c r="R4752" s="149"/>
      <c r="S4752" s="59"/>
    </row>
    <row r="4753" spans="1:24" ht="45" customHeight="1">
      <c r="M4753" s="1148"/>
      <c r="N4753" s="803"/>
      <c r="O4753" s="38"/>
      <c r="P4753" s="159"/>
      <c r="Q4753" s="147"/>
      <c r="R4753" s="149"/>
    </row>
    <row r="4754" spans="1:24" ht="45" customHeight="1">
      <c r="M4754" s="1150"/>
      <c r="N4754" s="1103"/>
      <c r="O4754"/>
      <c r="P4754" s="159"/>
      <c r="Q4754" s="147"/>
      <c r="R4754" s="149"/>
    </row>
    <row r="4755" spans="1:24" ht="45" customHeight="1">
      <c r="M4755" s="1150"/>
      <c r="N4755" s="1103"/>
      <c r="O4755"/>
      <c r="P4755" s="159"/>
      <c r="Q4755" s="147"/>
      <c r="R4755" s="149"/>
      <c r="T4755" s="38"/>
      <c r="U4755" s="38"/>
      <c r="V4755" s="38"/>
      <c r="W4755" s="38"/>
      <c r="X4755" s="38"/>
    </row>
    <row r="4756" spans="1:24" s="38" customFormat="1" ht="45" customHeight="1">
      <c r="A4756" s="307"/>
      <c r="B4756" s="59"/>
      <c r="C4756" s="59"/>
      <c r="D4756" s="59"/>
      <c r="E4756" s="59"/>
      <c r="F4756" s="59"/>
      <c r="G4756" s="59"/>
      <c r="H4756" s="59"/>
      <c r="I4756" s="59"/>
      <c r="J4756" s="59"/>
      <c r="K4756" s="59"/>
      <c r="L4756" s="59"/>
      <c r="M4756" s="1148"/>
      <c r="N4756" s="282"/>
      <c r="O4756"/>
      <c r="P4756" s="159"/>
      <c r="Q4756" s="147"/>
      <c r="R4756" s="149"/>
      <c r="T4756"/>
      <c r="U4756"/>
      <c r="V4756"/>
      <c r="W4756"/>
      <c r="X4756"/>
    </row>
    <row r="4757" spans="1:24" ht="45" customHeight="1">
      <c r="M4757" s="1148"/>
      <c r="N4757" s="282"/>
      <c r="O4757"/>
      <c r="P4757" s="159"/>
      <c r="Q4757" s="147"/>
      <c r="R4757" s="149"/>
      <c r="T4757" s="59"/>
      <c r="U4757" s="59"/>
      <c r="V4757" s="59"/>
      <c r="W4757" s="59"/>
      <c r="X4757" s="59"/>
    </row>
    <row r="4758" spans="1:24" s="59" customFormat="1" ht="45" customHeight="1">
      <c r="A4758" s="307"/>
      <c r="M4758" s="1148"/>
      <c r="N4758" s="1103"/>
      <c r="O4758"/>
      <c r="P4758" s="159"/>
      <c r="Q4758" s="147"/>
      <c r="R4758" s="149"/>
      <c r="S4758"/>
    </row>
    <row r="4759" spans="1:24" s="59" customFormat="1" ht="45" customHeight="1">
      <c r="A4759" s="307"/>
      <c r="M4759" s="1148"/>
      <c r="N4759" s="1103"/>
      <c r="O4759"/>
      <c r="P4759" s="159"/>
      <c r="Q4759" s="147"/>
      <c r="R4759" s="149"/>
    </row>
    <row r="4760" spans="1:24" s="59" customFormat="1" ht="45" customHeight="1">
      <c r="A4760" s="307"/>
      <c r="M4760" s="1149"/>
      <c r="N4760" s="1103"/>
      <c r="O4760"/>
      <c r="P4760" s="159"/>
      <c r="Q4760" s="147"/>
      <c r="R4760" s="149"/>
    </row>
    <row r="4761" spans="1:24" s="59" customFormat="1" ht="45" customHeight="1">
      <c r="A4761" s="307"/>
      <c r="M4761" s="1148"/>
      <c r="N4761" s="1103"/>
      <c r="O4761"/>
      <c r="P4761" s="159"/>
      <c r="Q4761" s="147"/>
      <c r="R4761" s="149"/>
    </row>
    <row r="4762" spans="1:24" s="59" customFormat="1" ht="45" customHeight="1">
      <c r="A4762" s="307"/>
      <c r="M4762" s="1148"/>
      <c r="N4762" s="1103"/>
      <c r="O4762"/>
      <c r="P4762" s="159"/>
      <c r="Q4762" s="147"/>
      <c r="R4762" s="149"/>
    </row>
    <row r="4763" spans="1:24" s="59" customFormat="1" ht="45" customHeight="1">
      <c r="A4763" s="307"/>
      <c r="M4763" s="1148"/>
      <c r="N4763" s="1103"/>
      <c r="O4763"/>
      <c r="P4763" s="159"/>
      <c r="Q4763" s="147"/>
      <c r="R4763" s="149"/>
    </row>
    <row r="4764" spans="1:24" s="59" customFormat="1" ht="45" customHeight="1">
      <c r="A4764" s="307"/>
      <c r="M4764" s="1148"/>
      <c r="N4764" s="1103"/>
      <c r="O4764"/>
      <c r="P4764" s="159"/>
      <c r="Q4764" s="147"/>
      <c r="R4764" s="149"/>
    </row>
    <row r="4765" spans="1:24" s="59" customFormat="1" ht="45" customHeight="1">
      <c r="A4765" s="307"/>
      <c r="M4765" s="1148"/>
      <c r="N4765" s="1103"/>
      <c r="O4765"/>
      <c r="P4765" s="159"/>
      <c r="Q4765" s="147"/>
      <c r="R4765" s="149"/>
    </row>
    <row r="4766" spans="1:24" s="59" customFormat="1" ht="45" customHeight="1">
      <c r="A4766" s="307"/>
      <c r="M4766" s="1148"/>
      <c r="N4766" s="1103"/>
      <c r="O4766"/>
      <c r="P4766" s="159"/>
      <c r="Q4766" s="147"/>
      <c r="R4766" s="149"/>
    </row>
    <row r="4767" spans="1:24" s="59" customFormat="1" ht="45" customHeight="1">
      <c r="A4767" s="307"/>
      <c r="M4767" s="1148"/>
      <c r="N4767" s="1103"/>
      <c r="O4767"/>
      <c r="P4767" s="159"/>
      <c r="Q4767" s="147"/>
      <c r="R4767" s="149"/>
    </row>
    <row r="4768" spans="1:24" s="59" customFormat="1" ht="45" customHeight="1">
      <c r="A4768" s="307"/>
      <c r="M4768" s="1148"/>
      <c r="N4768" s="1103"/>
      <c r="O4768" s="34"/>
      <c r="P4768" s="159"/>
      <c r="Q4768" s="147"/>
      <c r="R4768" s="149"/>
    </row>
    <row r="4769" spans="1:24" s="59" customFormat="1" ht="45" customHeight="1">
      <c r="A4769" s="307"/>
      <c r="M4769" s="1148"/>
      <c r="N4769" s="1103"/>
      <c r="O4769" s="34"/>
      <c r="P4769" s="159"/>
      <c r="Q4769" s="147"/>
      <c r="R4769" s="149"/>
    </row>
    <row r="4770" spans="1:24" s="59" customFormat="1" ht="45" customHeight="1">
      <c r="A4770" s="307"/>
      <c r="M4770" s="1148"/>
      <c r="N4770" s="1103"/>
      <c r="O4770"/>
      <c r="P4770" s="159"/>
      <c r="Q4770" s="147"/>
      <c r="R4770" s="149"/>
      <c r="T4770"/>
      <c r="U4770"/>
      <c r="V4770"/>
      <c r="W4770"/>
      <c r="X4770"/>
    </row>
    <row r="4771" spans="1:24" ht="45" customHeight="1">
      <c r="M4771" s="1148"/>
      <c r="N4771" s="1103"/>
      <c r="O4771"/>
      <c r="P4771" s="283"/>
      <c r="Q4771" s="282"/>
      <c r="R4771" s="284"/>
    </row>
    <row r="4772" spans="1:24" ht="45" customHeight="1">
      <c r="M4772" s="1148"/>
      <c r="N4772" s="1103"/>
      <c r="O4772"/>
      <c r="P4772" s="283"/>
      <c r="Q4772" s="282"/>
      <c r="R4772" s="284"/>
      <c r="T4772" s="59"/>
      <c r="U4772" s="59"/>
      <c r="V4772" s="59"/>
      <c r="W4772" s="59"/>
      <c r="X4772" s="59"/>
    </row>
    <row r="4773" spans="1:24" s="59" customFormat="1" ht="45" customHeight="1">
      <c r="A4773" s="307"/>
      <c r="M4773" s="1148"/>
      <c r="N4773" s="1103"/>
      <c r="O4773"/>
      <c r="P4773" s="159"/>
      <c r="Q4773" s="147"/>
      <c r="R4773" s="149"/>
    </row>
    <row r="4774" spans="1:24" s="59" customFormat="1" ht="45" customHeight="1">
      <c r="A4774" s="307"/>
      <c r="M4774" s="1148"/>
      <c r="N4774" s="1103"/>
      <c r="O4774"/>
      <c r="P4774" s="159"/>
      <c r="Q4774" s="147"/>
      <c r="R4774" s="149"/>
    </row>
    <row r="4775" spans="1:24" s="59" customFormat="1" ht="45" customHeight="1">
      <c r="A4775" s="307"/>
      <c r="M4775" s="1150"/>
      <c r="N4775" s="1103"/>
      <c r="O4775"/>
      <c r="P4775" s="159"/>
      <c r="Q4775" s="147"/>
      <c r="R4775" s="149"/>
    </row>
    <row r="4776" spans="1:24" s="59" customFormat="1" ht="45" customHeight="1">
      <c r="A4776" s="307"/>
      <c r="M4776" s="1148"/>
      <c r="N4776" s="1103"/>
      <c r="O4776"/>
      <c r="P4776" s="159"/>
      <c r="Q4776" s="147"/>
      <c r="R4776" s="149"/>
    </row>
    <row r="4777" spans="1:24" s="59" customFormat="1" ht="45" customHeight="1">
      <c r="A4777" s="307"/>
      <c r="M4777" s="1149"/>
      <c r="N4777" s="1103"/>
      <c r="P4777" s="159"/>
      <c r="Q4777" s="147"/>
      <c r="R4777" s="149"/>
    </row>
    <row r="4778" spans="1:24" s="59" customFormat="1" ht="45" customHeight="1">
      <c r="A4778" s="307"/>
      <c r="M4778" s="1148"/>
      <c r="N4778" s="1103"/>
      <c r="O4778"/>
      <c r="P4778" s="159"/>
      <c r="Q4778" s="147"/>
      <c r="R4778" s="149"/>
    </row>
    <row r="4779" spans="1:24" s="59" customFormat="1" ht="45" customHeight="1">
      <c r="A4779" s="307"/>
      <c r="M4779" s="1148"/>
      <c r="N4779" s="1103"/>
      <c r="O4779"/>
      <c r="P4779" s="159"/>
      <c r="Q4779" s="147"/>
      <c r="R4779" s="149"/>
      <c r="T4779"/>
      <c r="U4779"/>
      <c r="V4779"/>
      <c r="W4779"/>
      <c r="X4779"/>
    </row>
    <row r="4780" spans="1:24" ht="45" customHeight="1">
      <c r="M4780" s="1148"/>
      <c r="N4780" s="1103"/>
      <c r="O4780" s="38"/>
      <c r="P4780" s="308"/>
      <c r="Q4780" s="307"/>
      <c r="R4780" s="309"/>
    </row>
    <row r="4781" spans="1:24" ht="45" customHeight="1">
      <c r="M4781" s="1150"/>
      <c r="N4781" s="1103"/>
      <c r="O4781"/>
      <c r="P4781" s="159"/>
      <c r="Q4781" s="147"/>
      <c r="R4781" s="149"/>
    </row>
    <row r="4782" spans="1:24" ht="45" customHeight="1">
      <c r="M4782" s="1150"/>
      <c r="N4782" s="1103"/>
      <c r="O4782" s="34"/>
      <c r="P4782" s="159"/>
      <c r="Q4782" s="147"/>
      <c r="R4782" s="149"/>
      <c r="T4782" s="38"/>
      <c r="U4782" s="38"/>
      <c r="V4782" s="38"/>
      <c r="W4782" s="38"/>
      <c r="X4782" s="38"/>
    </row>
    <row r="4783" spans="1:24" s="38" customFormat="1" ht="45" customHeight="1">
      <c r="A4783" s="307"/>
      <c r="B4783" s="59"/>
      <c r="C4783" s="59"/>
      <c r="D4783" s="59"/>
      <c r="E4783" s="59"/>
      <c r="F4783" s="59"/>
      <c r="G4783" s="59"/>
      <c r="H4783" s="59"/>
      <c r="I4783" s="59"/>
      <c r="J4783" s="59"/>
      <c r="K4783" s="59"/>
      <c r="L4783" s="59"/>
      <c r="M4783" s="1148"/>
      <c r="N4783" s="282"/>
      <c r="O4783" s="34"/>
      <c r="P4783" s="159"/>
      <c r="Q4783" s="147"/>
      <c r="R4783" s="149"/>
      <c r="T4783" s="59"/>
      <c r="U4783" s="59"/>
      <c r="V4783" s="59"/>
      <c r="W4783" s="59"/>
      <c r="X4783" s="59"/>
    </row>
    <row r="4784" spans="1:24" s="59" customFormat="1" ht="45" customHeight="1">
      <c r="A4784" s="307"/>
      <c r="M4784" s="1148"/>
      <c r="N4784" s="282"/>
      <c r="O4784"/>
      <c r="P4784" s="159"/>
      <c r="Q4784" s="147"/>
      <c r="R4784" s="149"/>
      <c r="S4784"/>
      <c r="T4784"/>
      <c r="U4784"/>
      <c r="V4784"/>
      <c r="W4784"/>
      <c r="X4784"/>
    </row>
    <row r="4785" spans="1:24" ht="45" customHeight="1">
      <c r="M4785" s="1148"/>
      <c r="N4785" s="1103"/>
      <c r="O4785" s="59"/>
      <c r="P4785" s="283"/>
      <c r="Q4785" s="282"/>
      <c r="R4785" s="284"/>
    </row>
    <row r="4786" spans="1:24" ht="45" customHeight="1">
      <c r="M4786" s="1148"/>
      <c r="N4786" s="1103"/>
      <c r="O4786"/>
      <c r="P4786" s="283"/>
      <c r="Q4786" s="282"/>
      <c r="R4786" s="284"/>
      <c r="T4786" s="59"/>
      <c r="U4786" s="59"/>
      <c r="V4786" s="59"/>
      <c r="W4786" s="59"/>
      <c r="X4786" s="59"/>
    </row>
    <row r="4787" spans="1:24" s="59" customFormat="1" ht="45" customHeight="1">
      <c r="A4787" s="307"/>
      <c r="M4787" s="1149"/>
      <c r="N4787" s="1103"/>
      <c r="O4787"/>
      <c r="P4787" s="159"/>
      <c r="Q4787" s="147"/>
      <c r="R4787" s="149"/>
    </row>
    <row r="4788" spans="1:24" s="59" customFormat="1" ht="45" customHeight="1">
      <c r="A4788" s="307"/>
      <c r="M4788" s="1148"/>
      <c r="N4788" s="803"/>
      <c r="O4788" s="38"/>
      <c r="P4788" s="308"/>
      <c r="Q4788" s="307"/>
      <c r="R4788" s="309"/>
      <c r="S4788"/>
    </row>
    <row r="4789" spans="1:24" s="59" customFormat="1" ht="45" customHeight="1">
      <c r="A4789" s="307"/>
      <c r="M4789" s="1150"/>
      <c r="N4789" s="1103"/>
      <c r="O4789"/>
      <c r="P4789" s="159"/>
      <c r="Q4789" s="147"/>
      <c r="R4789" s="149"/>
      <c r="S4789"/>
    </row>
    <row r="4790" spans="1:24" s="59" customFormat="1" ht="45" customHeight="1">
      <c r="A4790" s="307"/>
      <c r="M4790" s="1150"/>
      <c r="N4790" s="1103"/>
      <c r="O4790"/>
      <c r="P4790" s="159"/>
      <c r="Q4790" s="147"/>
      <c r="R4790" s="149"/>
      <c r="S4790"/>
      <c r="T4790" s="38"/>
      <c r="U4790" s="38"/>
      <c r="V4790" s="38"/>
      <c r="W4790" s="38"/>
      <c r="X4790" s="38"/>
    </row>
    <row r="4791" spans="1:24" s="38" customFormat="1" ht="45" customHeight="1">
      <c r="A4791" s="307"/>
      <c r="B4791" s="59"/>
      <c r="C4791" s="59"/>
      <c r="D4791" s="59"/>
      <c r="E4791" s="59"/>
      <c r="F4791" s="59"/>
      <c r="G4791" s="59"/>
      <c r="H4791" s="59"/>
      <c r="I4791" s="59"/>
      <c r="J4791" s="59"/>
      <c r="K4791" s="59"/>
      <c r="L4791" s="59"/>
      <c r="M4791" s="1148"/>
      <c r="N4791" s="282"/>
      <c r="O4791"/>
      <c r="P4791" s="159"/>
      <c r="Q4791" s="147"/>
      <c r="R4791" s="149"/>
      <c r="T4791"/>
      <c r="U4791"/>
      <c r="V4791"/>
      <c r="W4791"/>
      <c r="X4791"/>
    </row>
    <row r="4792" spans="1:24" ht="45" customHeight="1">
      <c r="M4792" s="1148"/>
      <c r="N4792" s="282"/>
      <c r="O4792" s="59"/>
      <c r="P4792" s="159"/>
      <c r="Q4792" s="147"/>
      <c r="R4792" s="149"/>
    </row>
    <row r="4793" spans="1:24" ht="45" customHeight="1">
      <c r="M4793" s="1148"/>
      <c r="N4793" s="1103"/>
      <c r="O4793" s="59"/>
      <c r="P4793" s="159"/>
      <c r="Q4793" s="147"/>
      <c r="R4793" s="149"/>
      <c r="S4793" s="59"/>
    </row>
    <row r="4794" spans="1:24" ht="45" customHeight="1">
      <c r="M4794" s="1148"/>
      <c r="N4794" s="1103"/>
      <c r="O4794"/>
      <c r="P4794" s="159"/>
      <c r="Q4794" s="147"/>
      <c r="R4794" s="149"/>
      <c r="S4794" s="59"/>
    </row>
    <row r="4795" spans="1:24" ht="45" customHeight="1">
      <c r="M4795" s="1149"/>
      <c r="N4795" s="1103"/>
      <c r="O4795"/>
      <c r="P4795" s="308"/>
      <c r="Q4795" s="307"/>
      <c r="R4795" s="309"/>
      <c r="S4795" s="59"/>
      <c r="T4795" s="59"/>
      <c r="U4795" s="59"/>
      <c r="V4795" s="59"/>
      <c r="W4795" s="59"/>
      <c r="X4795" s="59"/>
    </row>
    <row r="4796" spans="1:24" s="59" customFormat="1" ht="45" customHeight="1">
      <c r="A4796" s="307"/>
      <c r="M4796" s="1148"/>
      <c r="N4796" s="803"/>
      <c r="O4796" s="34"/>
      <c r="P4796" s="308"/>
      <c r="Q4796" s="307"/>
      <c r="R4796" s="309"/>
    </row>
    <row r="4797" spans="1:24" s="59" customFormat="1" ht="45" customHeight="1">
      <c r="A4797" s="307"/>
      <c r="M4797" s="1148"/>
      <c r="N4797" s="1103"/>
      <c r="O4797" s="34"/>
      <c r="P4797" s="159"/>
      <c r="Q4797" s="147"/>
      <c r="R4797" s="149"/>
    </row>
    <row r="4798" spans="1:24" s="59" customFormat="1" ht="45" customHeight="1">
      <c r="A4798" s="307"/>
      <c r="M4798" s="1148"/>
      <c r="N4798" s="1103"/>
      <c r="O4798"/>
      <c r="P4798" s="159"/>
      <c r="Q4798" s="147"/>
      <c r="R4798" s="149"/>
      <c r="T4798"/>
      <c r="U4798"/>
      <c r="V4798"/>
      <c r="W4798"/>
      <c r="X4798"/>
    </row>
    <row r="4799" spans="1:24" ht="45" customHeight="1">
      <c r="M4799" s="1148"/>
      <c r="N4799" s="1103"/>
      <c r="O4799"/>
      <c r="P4799" s="283"/>
      <c r="Q4799" s="282"/>
      <c r="R4799" s="284"/>
    </row>
    <row r="4800" spans="1:24" ht="45" customHeight="1">
      <c r="M4800" s="1148"/>
      <c r="N4800" s="1103"/>
      <c r="O4800"/>
      <c r="P4800" s="283"/>
      <c r="Q4800" s="282"/>
      <c r="R4800" s="284"/>
    </row>
    <row r="4801" spans="1:24" ht="45" customHeight="1">
      <c r="M4801" s="1148"/>
      <c r="N4801" s="1103"/>
      <c r="O4801"/>
      <c r="P4801" s="159"/>
      <c r="Q4801" s="147"/>
      <c r="R4801" s="149"/>
      <c r="S4801" s="59"/>
    </row>
    <row r="4802" spans="1:24" ht="45" customHeight="1">
      <c r="M4802" s="1148"/>
      <c r="N4802" s="1103"/>
      <c r="O4802" s="760"/>
      <c r="P4802" s="159"/>
      <c r="Q4802" s="147"/>
      <c r="R4802" s="149"/>
    </row>
    <row r="4803" spans="1:24" ht="45" customHeight="1">
      <c r="M4803" s="1150"/>
      <c r="N4803" s="803"/>
      <c r="O4803" s="59"/>
      <c r="P4803" s="159"/>
      <c r="Q4803" s="147"/>
      <c r="R4803" s="149"/>
    </row>
    <row r="4804" spans="1:24" ht="45" customHeight="1">
      <c r="M4804" s="1150"/>
      <c r="N4804" s="803"/>
      <c r="O4804" s="59"/>
      <c r="P4804" s="159"/>
      <c r="Q4804" s="147"/>
      <c r="R4804" s="149"/>
      <c r="T4804" s="38"/>
      <c r="U4804" s="38"/>
      <c r="V4804" s="38"/>
      <c r="W4804" s="38"/>
      <c r="X4804" s="38"/>
    </row>
    <row r="4805" spans="1:24" s="38" customFormat="1" ht="45" customHeight="1">
      <c r="A4805" s="307"/>
      <c r="B4805" s="59"/>
      <c r="C4805" s="59"/>
      <c r="D4805" s="59"/>
      <c r="E4805" s="59"/>
      <c r="F4805" s="59"/>
      <c r="G4805" s="59"/>
      <c r="H4805" s="59"/>
      <c r="I4805" s="59"/>
      <c r="J4805" s="59"/>
      <c r="K4805" s="59"/>
      <c r="L4805" s="59"/>
      <c r="M4805" s="1148"/>
      <c r="N4805" s="282"/>
      <c r="O4805" s="59"/>
      <c r="P4805" s="308"/>
      <c r="Q4805" s="307"/>
      <c r="R4805" s="309"/>
      <c r="T4805" s="59"/>
      <c r="U4805" s="59"/>
      <c r="V4805" s="59"/>
      <c r="W4805" s="59"/>
      <c r="X4805" s="59"/>
    </row>
    <row r="4806" spans="1:24" s="59" customFormat="1" ht="45" customHeight="1">
      <c r="A4806" s="307"/>
      <c r="M4806" s="1148"/>
      <c r="N4806" s="282"/>
      <c r="O4806" s="34"/>
      <c r="P4806" s="308"/>
      <c r="Q4806" s="307"/>
      <c r="R4806" s="309"/>
      <c r="S4806"/>
    </row>
    <row r="4807" spans="1:24" s="59" customFormat="1" ht="45" customHeight="1">
      <c r="A4807" s="307"/>
      <c r="M4807" s="1148"/>
      <c r="N4807" s="1103"/>
      <c r="O4807" s="34"/>
      <c r="P4807" s="308"/>
      <c r="Q4807" s="307"/>
      <c r="R4807" s="309"/>
    </row>
    <row r="4808" spans="1:24" s="59" customFormat="1" ht="45" customHeight="1">
      <c r="A4808" s="307"/>
      <c r="M4808" s="1148"/>
      <c r="N4808" s="1103"/>
      <c r="P4808" s="308"/>
      <c r="Q4808" s="307"/>
      <c r="R4808" s="309"/>
      <c r="T4808"/>
      <c r="U4808"/>
      <c r="V4808"/>
      <c r="W4808"/>
      <c r="X4808"/>
    </row>
    <row r="4809" spans="1:24" ht="45" customHeight="1">
      <c r="M4809" s="1149"/>
      <c r="N4809" s="1103"/>
      <c r="O4809" s="59"/>
      <c r="P4809" s="283"/>
      <c r="Q4809" s="282"/>
      <c r="R4809" s="284"/>
    </row>
    <row r="4810" spans="1:24" ht="45" customHeight="1">
      <c r="M4810" s="1148"/>
      <c r="N4810" s="1103"/>
      <c r="O4810" s="59"/>
      <c r="P4810" s="283"/>
      <c r="Q4810" s="282"/>
      <c r="R4810" s="284"/>
    </row>
    <row r="4811" spans="1:24" ht="45" customHeight="1">
      <c r="M4811" s="1148"/>
      <c r="N4811" s="1103"/>
      <c r="O4811"/>
      <c r="P4811" s="308"/>
      <c r="Q4811" s="307"/>
      <c r="R4811" s="309"/>
      <c r="S4811" s="59"/>
    </row>
    <row r="4812" spans="1:24" ht="45" customHeight="1">
      <c r="M4812" s="1148"/>
      <c r="N4812" s="1103"/>
      <c r="O4812" s="38"/>
      <c r="P4812" s="308"/>
      <c r="Q4812" s="307"/>
      <c r="R4812" s="309"/>
    </row>
    <row r="4813" spans="1:24" ht="45" customHeight="1">
      <c r="M4813" s="1150"/>
      <c r="N4813" s="803"/>
      <c r="O4813"/>
      <c r="P4813" s="308"/>
      <c r="Q4813" s="307"/>
      <c r="R4813" s="309"/>
    </row>
    <row r="4814" spans="1:24" ht="45" customHeight="1">
      <c r="M4814" s="1150"/>
      <c r="N4814" s="803"/>
      <c r="O4814"/>
      <c r="P4814" s="159"/>
      <c r="Q4814" s="147"/>
      <c r="R4814" s="149"/>
      <c r="T4814" s="38"/>
      <c r="U4814" s="38"/>
      <c r="V4814" s="38"/>
      <c r="W4814" s="38"/>
      <c r="X4814" s="38"/>
    </row>
    <row r="4815" spans="1:24" s="38" customFormat="1" ht="45" customHeight="1">
      <c r="A4815" s="307"/>
      <c r="B4815" s="59"/>
      <c r="C4815" s="59"/>
      <c r="D4815" s="59"/>
      <c r="E4815" s="59"/>
      <c r="F4815" s="59"/>
      <c r="G4815" s="59"/>
      <c r="H4815" s="59"/>
      <c r="I4815" s="59"/>
      <c r="J4815" s="59"/>
      <c r="K4815" s="59"/>
      <c r="L4815" s="59"/>
      <c r="M4815" s="1148"/>
      <c r="N4815" s="282"/>
      <c r="O4815"/>
      <c r="P4815" s="159"/>
      <c r="Q4815" s="147"/>
      <c r="R4815" s="149"/>
      <c r="T4815" s="59"/>
      <c r="U4815" s="59"/>
      <c r="V4815" s="59"/>
      <c r="W4815" s="59"/>
      <c r="X4815" s="59"/>
    </row>
    <row r="4816" spans="1:24" s="59" customFormat="1" ht="45" customHeight="1">
      <c r="A4816" s="307"/>
      <c r="M4816" s="1148"/>
      <c r="N4816" s="282"/>
      <c r="O4816" s="34"/>
      <c r="P4816" s="159"/>
      <c r="Q4816" s="147"/>
      <c r="R4816" s="149"/>
      <c r="S4816"/>
    </row>
    <row r="4817" spans="1:24" s="59" customFormat="1" ht="45" customHeight="1">
      <c r="A4817" s="307"/>
      <c r="M4817" s="1153"/>
      <c r="N4817" s="803"/>
      <c r="O4817" s="34"/>
      <c r="P4817" s="159"/>
      <c r="Q4817" s="147"/>
      <c r="R4817" s="149"/>
    </row>
    <row r="4818" spans="1:24" s="59" customFormat="1" ht="45" customHeight="1">
      <c r="A4818" s="307"/>
      <c r="M4818" s="1153"/>
      <c r="N4818" s="803"/>
      <c r="O4818"/>
      <c r="P4818" s="159"/>
      <c r="Q4818" s="147"/>
      <c r="R4818" s="149"/>
      <c r="T4818"/>
      <c r="U4818"/>
      <c r="V4818"/>
      <c r="W4818"/>
      <c r="X4818"/>
    </row>
    <row r="4819" spans="1:24" ht="45" customHeight="1">
      <c r="M4819" s="1149"/>
      <c r="N4819" s="803"/>
      <c r="O4819" s="59"/>
      <c r="P4819" s="283"/>
      <c r="Q4819" s="282"/>
      <c r="R4819" s="284"/>
    </row>
    <row r="4820" spans="1:24" ht="45" customHeight="1">
      <c r="M4820" s="1148"/>
      <c r="N4820" s="803"/>
      <c r="O4820" s="307"/>
      <c r="P4820" s="283"/>
      <c r="Q4820" s="282"/>
      <c r="R4820" s="284"/>
    </row>
    <row r="4821" spans="1:24" ht="45" customHeight="1">
      <c r="M4821" s="1148"/>
      <c r="N4821" s="803"/>
      <c r="O4821"/>
      <c r="P4821" s="159"/>
      <c r="Q4821" s="147"/>
      <c r="R4821" s="149"/>
      <c r="S4821" s="59"/>
    </row>
    <row r="4822" spans="1:24" ht="45" customHeight="1">
      <c r="M4822" s="1148"/>
      <c r="N4822" s="1103"/>
      <c r="O4822" s="38"/>
      <c r="P4822" s="308"/>
      <c r="Q4822" s="307"/>
      <c r="R4822" s="309"/>
    </row>
    <row r="4823" spans="1:24" ht="45" customHeight="1">
      <c r="M4823" s="1150"/>
      <c r="N4823" s="1103"/>
      <c r="O4823"/>
      <c r="P4823" s="59"/>
      <c r="Q4823" s="59"/>
    </row>
    <row r="4824" spans="1:24" ht="45" customHeight="1">
      <c r="M4824" s="1150"/>
      <c r="N4824" s="1103"/>
      <c r="O4824"/>
      <c r="P4824" s="159"/>
      <c r="Q4824" s="147"/>
      <c r="R4824" s="149"/>
      <c r="T4824" s="38"/>
      <c r="U4824" s="38"/>
      <c r="V4824" s="38"/>
      <c r="W4824" s="38"/>
      <c r="X4824" s="38"/>
    </row>
    <row r="4825" spans="1:24" s="38" customFormat="1" ht="45" customHeight="1">
      <c r="A4825" s="307"/>
      <c r="B4825" s="59"/>
      <c r="C4825" s="59"/>
      <c r="D4825" s="59"/>
      <c r="E4825" s="59"/>
      <c r="F4825" s="59"/>
      <c r="G4825" s="59"/>
      <c r="H4825" s="59"/>
      <c r="I4825" s="59"/>
      <c r="J4825" s="59"/>
      <c r="K4825" s="59"/>
      <c r="L4825" s="59"/>
      <c r="M4825" s="1148"/>
      <c r="N4825" s="282"/>
      <c r="O4825"/>
      <c r="P4825" s="159"/>
      <c r="Q4825" s="147"/>
      <c r="R4825" s="149"/>
      <c r="T4825"/>
      <c r="U4825"/>
      <c r="V4825"/>
      <c r="W4825"/>
      <c r="X4825"/>
    </row>
    <row r="4826" spans="1:24" ht="45" customHeight="1">
      <c r="M4826" s="1148"/>
      <c r="N4826" s="282"/>
      <c r="O4826"/>
      <c r="P4826" s="159"/>
      <c r="Q4826" s="147"/>
      <c r="R4826" s="149"/>
      <c r="T4826" s="59"/>
      <c r="U4826" s="59"/>
      <c r="V4826" s="59"/>
      <c r="W4826" s="59"/>
      <c r="X4826" s="59"/>
    </row>
    <row r="4827" spans="1:24" s="59" customFormat="1" ht="45" customHeight="1">
      <c r="A4827" s="307"/>
      <c r="M4827" s="1148"/>
      <c r="N4827" s="1103"/>
      <c r="O4827" s="34"/>
      <c r="P4827" s="159"/>
      <c r="Q4827" s="147"/>
      <c r="R4827" s="149"/>
    </row>
    <row r="4828" spans="1:24" s="59" customFormat="1" ht="45" customHeight="1">
      <c r="A4828" s="307"/>
      <c r="M4828" s="1146"/>
      <c r="N4828" s="1103"/>
      <c r="O4828"/>
      <c r="P4828" s="159"/>
      <c r="Q4828" s="147"/>
      <c r="R4828" s="149"/>
    </row>
    <row r="4829" spans="1:24" s="59" customFormat="1" ht="45" customHeight="1">
      <c r="A4829" s="307"/>
      <c r="M4829" s="1148"/>
      <c r="N4829" s="1103"/>
      <c r="O4829" s="34"/>
      <c r="P4829" s="159"/>
      <c r="Q4829" s="147"/>
      <c r="R4829" s="149"/>
      <c r="T4829"/>
      <c r="U4829"/>
      <c r="V4829"/>
      <c r="W4829"/>
      <c r="X4829"/>
    </row>
    <row r="4830" spans="1:24" ht="45" customHeight="1">
      <c r="M4830" s="1159"/>
      <c r="N4830" s="789"/>
      <c r="O4830"/>
      <c r="P4830" s="283"/>
      <c r="Q4830" s="282"/>
      <c r="R4830" s="284"/>
      <c r="T4830" s="59"/>
      <c r="U4830" s="59"/>
      <c r="V4830" s="59"/>
      <c r="W4830" s="59"/>
      <c r="X4830" s="59"/>
    </row>
    <row r="4831" spans="1:24" s="59" customFormat="1" ht="45" customHeight="1">
      <c r="A4831" s="307"/>
      <c r="M4831" s="1159"/>
      <c r="N4831" s="789"/>
      <c r="O4831"/>
      <c r="P4831" s="159"/>
      <c r="Q4831" s="147"/>
      <c r="R4831" s="149"/>
      <c r="T4831"/>
      <c r="U4831"/>
      <c r="V4831"/>
      <c r="W4831"/>
      <c r="X4831"/>
    </row>
    <row r="4832" spans="1:24" ht="45" customHeight="1">
      <c r="N4832" s="817"/>
      <c r="O4832"/>
      <c r="P4832" s="283"/>
      <c r="Q4832" s="282"/>
      <c r="R4832" s="284"/>
      <c r="T4832" s="59"/>
      <c r="U4832" s="59"/>
      <c r="V4832" s="59"/>
      <c r="W4832" s="59"/>
      <c r="X4832" s="59"/>
    </row>
    <row r="4833" spans="1:24" s="59" customFormat="1" ht="45" customHeight="1">
      <c r="A4833" s="307"/>
      <c r="M4833" s="142"/>
      <c r="N4833" s="960"/>
      <c r="O4833"/>
      <c r="P4833" s="159"/>
      <c r="Q4833" s="147"/>
      <c r="R4833" s="149"/>
    </row>
    <row r="4834" spans="1:24" s="59" customFormat="1" ht="45" customHeight="1">
      <c r="A4834" s="307"/>
      <c r="M4834" s="142"/>
      <c r="N4834" s="1103"/>
      <c r="O4834"/>
      <c r="P4834" s="159"/>
      <c r="Q4834" s="147"/>
      <c r="R4834" s="149"/>
    </row>
    <row r="4835" spans="1:24" s="59" customFormat="1" ht="45" customHeight="1">
      <c r="A4835" s="307"/>
      <c r="M4835" s="142"/>
      <c r="N4835" s="1103"/>
      <c r="O4835"/>
      <c r="P4835" s="159"/>
      <c r="Q4835" s="147"/>
      <c r="R4835" s="149"/>
    </row>
    <row r="4836" spans="1:24" s="59" customFormat="1" ht="45" customHeight="1">
      <c r="A4836" s="307"/>
      <c r="M4836" s="1148"/>
      <c r="N4836" s="1117"/>
      <c r="O4836"/>
      <c r="P4836" s="159"/>
      <c r="Q4836" s="147"/>
      <c r="R4836" s="149"/>
    </row>
    <row r="4837" spans="1:24" s="59" customFormat="1" ht="45" customHeight="1">
      <c r="A4837" s="307"/>
      <c r="M4837" s="1148"/>
      <c r="N4837" s="282"/>
      <c r="O4837"/>
      <c r="P4837" s="159"/>
      <c r="Q4837" s="147"/>
      <c r="R4837" s="149"/>
    </row>
    <row r="4838" spans="1:24" s="59" customFormat="1" ht="45" customHeight="1">
      <c r="A4838" s="307"/>
      <c r="M4838" s="142"/>
      <c r="N4838" s="1103"/>
      <c r="O4838"/>
      <c r="P4838" s="159"/>
      <c r="Q4838" s="147"/>
      <c r="R4838" s="149"/>
    </row>
    <row r="4839" spans="1:24" s="59" customFormat="1" ht="45" customHeight="1">
      <c r="A4839" s="307"/>
      <c r="M4839" s="142"/>
      <c r="N4839" s="1103"/>
      <c r="O4839"/>
      <c r="P4839" s="159"/>
      <c r="Q4839" s="147"/>
      <c r="R4839" s="149"/>
    </row>
    <row r="4840" spans="1:24" s="59" customFormat="1" ht="45" customHeight="1">
      <c r="A4840" s="307"/>
      <c r="M4840" s="1148"/>
      <c r="N4840" s="226"/>
      <c r="O4840"/>
      <c r="P4840" s="159"/>
      <c r="Q4840" s="147"/>
      <c r="R4840" s="149"/>
    </row>
    <row r="4841" spans="1:24" s="59" customFormat="1" ht="45" customHeight="1">
      <c r="A4841" s="307"/>
      <c r="M4841" s="142"/>
      <c r="N4841" s="226"/>
      <c r="O4841"/>
      <c r="P4841" s="159"/>
      <c r="Q4841" s="147"/>
      <c r="R4841" s="149"/>
    </row>
    <row r="4842" spans="1:24" s="59" customFormat="1" ht="45" customHeight="1">
      <c r="A4842" s="307"/>
      <c r="M4842" s="1148"/>
      <c r="N4842" s="1103"/>
      <c r="O4842"/>
      <c r="P4842" s="159"/>
      <c r="Q4842" s="147"/>
      <c r="R4842" s="149"/>
    </row>
    <row r="4843" spans="1:24" s="59" customFormat="1" ht="45" customHeight="1">
      <c r="A4843" s="307"/>
      <c r="M4843" s="1148"/>
      <c r="N4843" s="226"/>
      <c r="P4843" s="159"/>
      <c r="Q4843" s="147"/>
      <c r="R4843" s="149"/>
    </row>
    <row r="4844" spans="1:24" s="59" customFormat="1" ht="45" customHeight="1">
      <c r="A4844" s="307"/>
      <c r="M4844" s="1148"/>
      <c r="N4844" s="1103"/>
      <c r="O4844"/>
      <c r="P4844" s="159"/>
      <c r="Q4844" s="147"/>
      <c r="R4844" s="149"/>
    </row>
    <row r="4845" spans="1:24" s="59" customFormat="1" ht="45" customHeight="1">
      <c r="A4845" s="307"/>
      <c r="M4845" s="1148"/>
      <c r="N4845" s="1103"/>
      <c r="O4845"/>
      <c r="P4845" s="159"/>
      <c r="Q4845" s="147"/>
      <c r="R4845" s="149"/>
      <c r="T4845"/>
      <c r="U4845"/>
      <c r="V4845"/>
      <c r="W4845"/>
      <c r="X4845"/>
    </row>
    <row r="4846" spans="1:24" ht="45" customHeight="1">
      <c r="M4846" s="1148"/>
      <c r="N4846" s="1103"/>
      <c r="O4846" s="38"/>
      <c r="P4846" s="308"/>
      <c r="Q4846" s="307"/>
      <c r="R4846" s="309"/>
    </row>
    <row r="4847" spans="1:24" ht="45" customHeight="1">
      <c r="M4847" s="1148"/>
      <c r="N4847" s="1103"/>
      <c r="O4847"/>
      <c r="P4847" s="159"/>
      <c r="Q4847" s="147"/>
      <c r="R4847" s="149"/>
    </row>
    <row r="4848" spans="1:24" ht="45" customHeight="1">
      <c r="M4848" s="1148"/>
      <c r="N4848" s="1103"/>
      <c r="O4848"/>
      <c r="P4848" s="159"/>
      <c r="Q4848" s="147"/>
      <c r="R4848" s="149"/>
      <c r="T4848" s="38"/>
      <c r="U4848" s="38"/>
      <c r="V4848" s="38"/>
      <c r="W4848" s="38"/>
      <c r="X4848" s="38"/>
    </row>
    <row r="4849" spans="1:24" s="38" customFormat="1" ht="45" customHeight="1">
      <c r="A4849" s="307"/>
      <c r="B4849" s="59"/>
      <c r="C4849" s="59"/>
      <c r="D4849" s="59"/>
      <c r="E4849" s="59"/>
      <c r="F4849" s="59"/>
      <c r="G4849" s="59"/>
      <c r="H4849" s="59"/>
      <c r="I4849" s="59"/>
      <c r="J4849" s="59"/>
      <c r="K4849" s="59"/>
      <c r="L4849" s="59"/>
      <c r="M4849" s="1148"/>
      <c r="N4849" s="1103"/>
      <c r="O4849"/>
      <c r="P4849" s="159"/>
      <c r="Q4849" s="147"/>
      <c r="R4849" s="149"/>
      <c r="T4849"/>
      <c r="U4849"/>
      <c r="V4849"/>
      <c r="W4849"/>
      <c r="X4849"/>
    </row>
    <row r="4850" spans="1:24" ht="45" customHeight="1">
      <c r="M4850" s="1148"/>
      <c r="N4850" s="1103"/>
      <c r="O4850"/>
      <c r="P4850" s="159"/>
      <c r="Q4850" s="147"/>
      <c r="R4850" s="149"/>
    </row>
    <row r="4851" spans="1:24" ht="45" customHeight="1">
      <c r="M4851" s="1148"/>
      <c r="N4851" s="1103"/>
      <c r="O4851"/>
      <c r="P4851" s="159"/>
      <c r="Q4851" s="147"/>
      <c r="R4851" s="149"/>
      <c r="S4851" s="59"/>
    </row>
    <row r="4852" spans="1:24" ht="45" customHeight="1">
      <c r="M4852" s="1148"/>
      <c r="N4852" s="1103"/>
      <c r="O4852"/>
      <c r="P4852" s="159"/>
      <c r="Q4852" s="147"/>
      <c r="R4852" s="149"/>
      <c r="S4852" s="59"/>
    </row>
    <row r="4853" spans="1:24" ht="45" customHeight="1">
      <c r="M4853" s="1146"/>
      <c r="N4853" s="1103"/>
      <c r="O4853"/>
      <c r="P4853" s="159"/>
      <c r="Q4853" s="147"/>
      <c r="R4853" s="149"/>
      <c r="S4853" s="59"/>
    </row>
    <row r="4854" spans="1:24" ht="45" customHeight="1">
      <c r="N4854" s="803"/>
      <c r="O4854" s="34"/>
      <c r="P4854" s="159"/>
      <c r="Q4854" s="147"/>
      <c r="R4854" s="149"/>
      <c r="S4854" s="59"/>
    </row>
    <row r="4855" spans="1:24" ht="45" customHeight="1">
      <c r="N4855" s="1103"/>
      <c r="O4855" s="34"/>
      <c r="P4855" s="159"/>
      <c r="Q4855" s="147"/>
      <c r="R4855" s="149"/>
      <c r="S4855" s="59"/>
    </row>
    <row r="4856" spans="1:24" ht="45" customHeight="1">
      <c r="N4856" s="1103"/>
      <c r="O4856"/>
      <c r="P4856" s="159"/>
      <c r="Q4856" s="147"/>
      <c r="R4856" s="149"/>
      <c r="S4856" s="59"/>
    </row>
    <row r="4857" spans="1:24" ht="45" customHeight="1">
      <c r="N4857" s="1103"/>
      <c r="O4857"/>
      <c r="P4857" s="283"/>
      <c r="Q4857" s="282"/>
      <c r="R4857" s="284"/>
    </row>
    <row r="4858" spans="1:24" ht="45" customHeight="1">
      <c r="N4858" s="1103"/>
      <c r="O4858"/>
      <c r="P4858" s="283"/>
      <c r="Q4858" s="282"/>
      <c r="R4858" s="284"/>
    </row>
    <row r="4859" spans="1:24" ht="45" customHeight="1">
      <c r="N4859" s="1103"/>
      <c r="O4859"/>
      <c r="P4859" s="159"/>
      <c r="Q4859" s="147"/>
      <c r="R4859" s="149"/>
      <c r="S4859" s="59"/>
    </row>
    <row r="4860" spans="1:24" ht="45" customHeight="1">
      <c r="M4860" s="512"/>
      <c r="N4860" s="1103"/>
      <c r="O4860"/>
      <c r="P4860" s="159"/>
      <c r="Q4860" s="147"/>
      <c r="R4860" s="149"/>
      <c r="S4860" s="59"/>
    </row>
    <row r="4861" spans="1:24" ht="45" customHeight="1">
      <c r="M4861" s="1150"/>
      <c r="N4861" s="1103"/>
      <c r="O4861"/>
      <c r="P4861" s="159"/>
      <c r="Q4861" s="147"/>
      <c r="R4861" s="149"/>
      <c r="S4861" s="59"/>
    </row>
    <row r="4862" spans="1:24" ht="45" customHeight="1">
      <c r="M4862" s="1150"/>
      <c r="N4862" s="1103"/>
      <c r="O4862"/>
      <c r="P4862" s="159"/>
      <c r="Q4862" s="147"/>
      <c r="R4862" s="149"/>
      <c r="S4862" s="59"/>
    </row>
    <row r="4863" spans="1:24" ht="45" customHeight="1">
      <c r="M4863" s="1148"/>
      <c r="N4863" s="282"/>
      <c r="O4863"/>
      <c r="P4863" s="159"/>
      <c r="Q4863" s="147"/>
      <c r="R4863" s="149"/>
      <c r="S4863" s="59"/>
    </row>
    <row r="4864" spans="1:24" ht="45" customHeight="1">
      <c r="M4864" s="1148"/>
      <c r="N4864" s="282"/>
      <c r="O4864"/>
      <c r="P4864" s="159"/>
      <c r="Q4864" s="147"/>
      <c r="R4864" s="149"/>
      <c r="S4864" s="59"/>
    </row>
    <row r="4865" spans="1:24" ht="45" customHeight="1">
      <c r="M4865" s="1148"/>
      <c r="N4865" s="1103"/>
      <c r="O4865"/>
      <c r="P4865" s="159"/>
      <c r="Q4865" s="147"/>
      <c r="R4865" s="149"/>
      <c r="S4865" s="59"/>
    </row>
    <row r="4866" spans="1:24" ht="45" customHeight="1">
      <c r="M4866" s="1148"/>
      <c r="N4866" s="1103"/>
      <c r="O4866"/>
      <c r="P4866" s="159"/>
      <c r="Q4866" s="147"/>
      <c r="R4866" s="149"/>
      <c r="S4866" s="59"/>
    </row>
    <row r="4867" spans="1:24" ht="45" customHeight="1">
      <c r="M4867" s="1148"/>
      <c r="N4867" s="1103"/>
      <c r="P4867" s="159"/>
      <c r="Q4867" s="147"/>
      <c r="R4867" s="149"/>
      <c r="S4867" s="59"/>
    </row>
    <row r="4868" spans="1:24" ht="45" customHeight="1">
      <c r="M4868" s="1148"/>
      <c r="N4868" s="1103"/>
      <c r="P4868" s="159"/>
      <c r="Q4868" s="147"/>
      <c r="R4868" s="149"/>
      <c r="S4868" s="59"/>
    </row>
    <row r="4869" spans="1:24" ht="45" customHeight="1">
      <c r="M4869" s="1148"/>
      <c r="N4869" s="1103"/>
      <c r="P4869" s="159"/>
      <c r="Q4869" s="147"/>
      <c r="R4869" s="149"/>
      <c r="S4869" s="59"/>
    </row>
    <row r="4870" spans="1:24" ht="45" customHeight="1">
      <c r="M4870" s="1148"/>
      <c r="N4870" s="1103"/>
    </row>
    <row r="4871" spans="1:24" ht="45" customHeight="1">
      <c r="M4871" s="1148"/>
      <c r="N4871" s="1103"/>
    </row>
    <row r="4872" spans="1:24" ht="45" customHeight="1">
      <c r="M4872" s="1148"/>
      <c r="N4872" s="1103"/>
    </row>
    <row r="4873" spans="1:24" ht="45" customHeight="1">
      <c r="M4873" s="1148"/>
      <c r="N4873" s="1103"/>
    </row>
    <row r="4874" spans="1:24" ht="45" customHeight="1">
      <c r="M4874" s="1148"/>
      <c r="N4874" s="1103"/>
    </row>
    <row r="4875" spans="1:24" ht="45" customHeight="1">
      <c r="M4875" s="1148"/>
      <c r="N4875" s="1103"/>
    </row>
    <row r="4876" spans="1:24" ht="45" customHeight="1">
      <c r="N4876" s="1103"/>
    </row>
    <row r="4877" spans="1:24" ht="45" customHeight="1">
      <c r="N4877" s="1103"/>
      <c r="X4877" s="26"/>
    </row>
    <row r="4878" spans="1:24" s="26" customFormat="1" ht="45" customHeight="1">
      <c r="A4878" s="307"/>
      <c r="B4878" s="59"/>
      <c r="C4878" s="59"/>
      <c r="D4878" s="59"/>
      <c r="E4878" s="59"/>
      <c r="F4878" s="59"/>
      <c r="G4878" s="59"/>
      <c r="H4878" s="59"/>
      <c r="I4878" s="59"/>
      <c r="J4878" s="59"/>
      <c r="K4878" s="59"/>
      <c r="L4878" s="59"/>
      <c r="M4878" s="142"/>
      <c r="N4878" s="25"/>
      <c r="O4878" s="1119"/>
      <c r="P4878"/>
      <c r="Q4878"/>
      <c r="R4878"/>
      <c r="S4878"/>
      <c r="T4878"/>
      <c r="U4878"/>
      <c r="V4878"/>
      <c r="W4878"/>
    </row>
    <row r="4879" spans="1:24" s="26" customFormat="1" ht="45" customHeight="1">
      <c r="A4879" s="307"/>
      <c r="B4879" s="59"/>
      <c r="C4879" s="59"/>
      <c r="D4879" s="59"/>
      <c r="E4879" s="59"/>
      <c r="F4879" s="59"/>
      <c r="G4879" s="59"/>
      <c r="H4879" s="59"/>
      <c r="I4879" s="59"/>
      <c r="J4879" s="59"/>
      <c r="K4879" s="59"/>
      <c r="L4879" s="59"/>
      <c r="M4879" s="142"/>
      <c r="N4879" s="25"/>
      <c r="O4879" s="1119"/>
      <c r="P4879"/>
      <c r="Q4879"/>
      <c r="R4879"/>
      <c r="S4879"/>
      <c r="T4879"/>
      <c r="U4879"/>
      <c r="V4879"/>
      <c r="W4879"/>
    </row>
    <row r="4880" spans="1:24" s="26" customFormat="1" ht="45" customHeight="1">
      <c r="A4880" s="307"/>
      <c r="B4880" s="59"/>
      <c r="C4880" s="59"/>
      <c r="D4880" s="59"/>
      <c r="E4880" s="59"/>
      <c r="F4880" s="59"/>
      <c r="G4880" s="59"/>
      <c r="H4880" s="59"/>
      <c r="I4880" s="59"/>
      <c r="J4880" s="59"/>
      <c r="K4880" s="59"/>
      <c r="L4880" s="59"/>
      <c r="M4880" s="142"/>
      <c r="N4880" s="25"/>
      <c r="O4880" s="1119"/>
      <c r="P4880"/>
      <c r="Q4880"/>
      <c r="R4880"/>
      <c r="S4880"/>
      <c r="T4880"/>
      <c r="U4880"/>
      <c r="V4880"/>
      <c r="W4880"/>
      <c r="X4880"/>
    </row>
  </sheetData>
  <mergeCells count="6249">
    <mergeCell ref="K4246:L4246"/>
    <mergeCell ref="I4246:J4246"/>
    <mergeCell ref="B173:D173"/>
    <mergeCell ref="K3609:L3609"/>
    <mergeCell ref="B3610:D3610"/>
    <mergeCell ref="B3570:D3570"/>
    <mergeCell ref="A3571:L3571"/>
    <mergeCell ref="C3572:D3572"/>
    <mergeCell ref="J3572:L3572"/>
    <mergeCell ref="G2407:H2407"/>
    <mergeCell ref="K2407:L2407"/>
    <mergeCell ref="B3481:D3481"/>
    <mergeCell ref="J1177:L1177"/>
    <mergeCell ref="B263:D263"/>
    <mergeCell ref="B3587:D3587"/>
    <mergeCell ref="H3587:I3587"/>
    <mergeCell ref="G321:H321"/>
    <mergeCell ref="B3574:D3574"/>
    <mergeCell ref="B3575:D3575"/>
    <mergeCell ref="B3576:D3576"/>
    <mergeCell ref="B2966:D2966"/>
    <mergeCell ref="G2966:H2966"/>
    <mergeCell ref="I2966:J2966"/>
    <mergeCell ref="B3609:D3609"/>
    <mergeCell ref="D3602:L3602"/>
    <mergeCell ref="A3603:C3603"/>
    <mergeCell ref="D3603:L3603"/>
    <mergeCell ref="A3604:C3604"/>
    <mergeCell ref="D3604:L3604"/>
    <mergeCell ref="A3599:C3599"/>
    <mergeCell ref="D3599:L3599"/>
    <mergeCell ref="A3600:C3600"/>
    <mergeCell ref="D3600:L3600"/>
    <mergeCell ref="A3601:C3601"/>
    <mergeCell ref="G3586:H3586"/>
    <mergeCell ref="K3586:L3586"/>
    <mergeCell ref="A3583:D3583"/>
    <mergeCell ref="A3584:L3584"/>
    <mergeCell ref="C3585:D3585"/>
    <mergeCell ref="B2073:D2073"/>
    <mergeCell ref="B2457:D2457"/>
    <mergeCell ref="B3573:D3573"/>
    <mergeCell ref="G3573:H3573"/>
    <mergeCell ref="B3615:D3615"/>
    <mergeCell ref="I3615:J3615"/>
    <mergeCell ref="B3616:D3616"/>
    <mergeCell ref="I3616:J3616"/>
    <mergeCell ref="B3617:D3617"/>
    <mergeCell ref="I3617:J3617"/>
    <mergeCell ref="B3612:D3612"/>
    <mergeCell ref="I3612:J3612"/>
    <mergeCell ref="B3613:D3613"/>
    <mergeCell ref="I3613:J3613"/>
    <mergeCell ref="G3609:H3609"/>
    <mergeCell ref="I3609:J3609"/>
    <mergeCell ref="B3614:D3614"/>
    <mergeCell ref="I3614:J3614"/>
    <mergeCell ref="B3611:D3611"/>
    <mergeCell ref="I3611:J3611"/>
    <mergeCell ref="A3605:C3605"/>
    <mergeCell ref="D3605:L3605"/>
    <mergeCell ref="A3606:C3606"/>
    <mergeCell ref="D3606:L3606"/>
    <mergeCell ref="A3607:L3607"/>
    <mergeCell ref="C3608:D3608"/>
    <mergeCell ref="J3608:L3608"/>
    <mergeCell ref="A3602:C3602"/>
    <mergeCell ref="J3585:L3585"/>
    <mergeCell ref="B3595:D3595"/>
    <mergeCell ref="H3595:I3595"/>
    <mergeCell ref="B3577:D3577"/>
    <mergeCell ref="B3578:D3578"/>
    <mergeCell ref="F3580:F3581"/>
    <mergeCell ref="C2401:D2401"/>
    <mergeCell ref="J2401:L2401"/>
    <mergeCell ref="B2402:D2402"/>
    <mergeCell ref="G2402:H2402"/>
    <mergeCell ref="I2402:J2402"/>
    <mergeCell ref="K2402:L2402"/>
    <mergeCell ref="B3596:D3596"/>
    <mergeCell ref="A3597:L3597"/>
    <mergeCell ref="A3598:C3598"/>
    <mergeCell ref="D3598:L3598"/>
    <mergeCell ref="B3589:D3589"/>
    <mergeCell ref="B3590:D3590"/>
    <mergeCell ref="B3591:D3591"/>
    <mergeCell ref="F3592:F3593"/>
    <mergeCell ref="G3592:J3592"/>
    <mergeCell ref="G3593:J3593"/>
    <mergeCell ref="B3586:D3586"/>
    <mergeCell ref="K3573:L3573"/>
    <mergeCell ref="B3567:D3567"/>
    <mergeCell ref="I3567:J3567"/>
    <mergeCell ref="B3568:D3568"/>
    <mergeCell ref="I3568:J3568"/>
    <mergeCell ref="B3569:D3569"/>
    <mergeCell ref="B3565:D3565"/>
    <mergeCell ref="G3565:H3565"/>
    <mergeCell ref="I3565:J3565"/>
    <mergeCell ref="K3565:L3565"/>
    <mergeCell ref="B3566:D3566"/>
    <mergeCell ref="I3566:J3566"/>
    <mergeCell ref="B3588:D3588"/>
    <mergeCell ref="G3580:J3580"/>
    <mergeCell ref="G3581:J3581"/>
    <mergeCell ref="A4429:L4429"/>
    <mergeCell ref="C413:D413"/>
    <mergeCell ref="J413:L413"/>
    <mergeCell ref="B414:D414"/>
    <mergeCell ref="G414:H414"/>
    <mergeCell ref="K414:L414"/>
    <mergeCell ref="B415:D415"/>
    <mergeCell ref="B416:D416"/>
    <mergeCell ref="B417:D417"/>
    <mergeCell ref="B418:D418"/>
    <mergeCell ref="A4426:C4426"/>
    <mergeCell ref="D4426:L4426"/>
    <mergeCell ref="A4427:C4427"/>
    <mergeCell ref="D4427:L4427"/>
    <mergeCell ref="A4428:C4428"/>
    <mergeCell ref="D4428:L4428"/>
    <mergeCell ref="A4423:C4423"/>
    <mergeCell ref="D4423:L4423"/>
    <mergeCell ref="A4424:C4424"/>
    <mergeCell ref="D4424:L4424"/>
    <mergeCell ref="A4425:C4425"/>
    <mergeCell ref="D4425:L4425"/>
    <mergeCell ref="A4419:L4419"/>
    <mergeCell ref="A4420:C4420"/>
    <mergeCell ref="D4420:L4420"/>
    <mergeCell ref="A4421:C4421"/>
    <mergeCell ref="D4421:L4421"/>
    <mergeCell ref="A4422:C4422"/>
    <mergeCell ref="D4422:L4422"/>
    <mergeCell ref="B4415:D4415"/>
    <mergeCell ref="D3601:L3601"/>
    <mergeCell ref="B3594:D3594"/>
    <mergeCell ref="F4415:F4416"/>
    <mergeCell ref="G4415:J4415"/>
    <mergeCell ref="B4416:D4417"/>
    <mergeCell ref="G4416:J4416"/>
    <mergeCell ref="B4407:D4407"/>
    <mergeCell ref="B4409:D4409"/>
    <mergeCell ref="B4408:D4408"/>
    <mergeCell ref="B4410:D4410"/>
    <mergeCell ref="B4411:D4411"/>
    <mergeCell ref="B4413:D4413"/>
    <mergeCell ref="B4404:D4404"/>
    <mergeCell ref="G4404:H4404"/>
    <mergeCell ref="K4404:L4404"/>
    <mergeCell ref="B4405:D4405"/>
    <mergeCell ref="B4406:D4406"/>
    <mergeCell ref="A4400:C4400"/>
    <mergeCell ref="D4400:L4400"/>
    <mergeCell ref="A4401:C4401"/>
    <mergeCell ref="D4401:L4401"/>
    <mergeCell ref="A4402:L4402"/>
    <mergeCell ref="C4403:D4403"/>
    <mergeCell ref="J4403:L4403"/>
    <mergeCell ref="A4397:C4397"/>
    <mergeCell ref="D4397:L4397"/>
    <mergeCell ref="A4398:C4398"/>
    <mergeCell ref="D4398:L4398"/>
    <mergeCell ref="A4399:C4399"/>
    <mergeCell ref="D4399:L4399"/>
    <mergeCell ref="A4394:C4394"/>
    <mergeCell ref="D4394:L4394"/>
    <mergeCell ref="A4395:C4395"/>
    <mergeCell ref="D4395:L4395"/>
    <mergeCell ref="A4396:C4396"/>
    <mergeCell ref="D4396:L4396"/>
    <mergeCell ref="B4388:D4388"/>
    <mergeCell ref="F4388:F4389"/>
    <mergeCell ref="G4388:J4388"/>
    <mergeCell ref="G4389:J4389"/>
    <mergeCell ref="A4392:L4392"/>
    <mergeCell ref="A4393:C4393"/>
    <mergeCell ref="D4393:L4393"/>
    <mergeCell ref="B4383:D4383"/>
    <mergeCell ref="G4383:H4383"/>
    <mergeCell ref="K4383:L4383"/>
    <mergeCell ref="B4384:D4384"/>
    <mergeCell ref="B4385:D4385"/>
    <mergeCell ref="B4386:D4386"/>
    <mergeCell ref="B4377:D4377"/>
    <mergeCell ref="F4377:F4378"/>
    <mergeCell ref="G4377:J4377"/>
    <mergeCell ref="G4378:J4378"/>
    <mergeCell ref="A4381:L4381"/>
    <mergeCell ref="C4382:D4382"/>
    <mergeCell ref="J4382:L4382"/>
    <mergeCell ref="B4373:D4373"/>
    <mergeCell ref="G4373:H4373"/>
    <mergeCell ref="K4373:L4373"/>
    <mergeCell ref="B4374:D4374"/>
    <mergeCell ref="B4375:D4375"/>
    <mergeCell ref="B4376:D4376"/>
    <mergeCell ref="B4367:D4367"/>
    <mergeCell ref="F4367:F4368"/>
    <mergeCell ref="G4367:J4367"/>
    <mergeCell ref="G4368:J4368"/>
    <mergeCell ref="A4371:L4371"/>
    <mergeCell ref="C4372:D4372"/>
    <mergeCell ref="J4372:L4372"/>
    <mergeCell ref="B4363:D4363"/>
    <mergeCell ref="G4363:H4363"/>
    <mergeCell ref="K4363:L4363"/>
    <mergeCell ref="B4364:D4364"/>
    <mergeCell ref="B4365:D4365"/>
    <mergeCell ref="B4366:D4366"/>
    <mergeCell ref="C4362:D4362"/>
    <mergeCell ref="J4362:L4362"/>
    <mergeCell ref="A4361:L4361"/>
    <mergeCell ref="B4356:D4356"/>
    <mergeCell ref="B4357:D4357"/>
    <mergeCell ref="F4357:F4358"/>
    <mergeCell ref="G4357:J4357"/>
    <mergeCell ref="G4358:J4358"/>
    <mergeCell ref="B4359:D4359"/>
    <mergeCell ref="A4353:L4353"/>
    <mergeCell ref="C4354:D4354"/>
    <mergeCell ref="J4354:L4354"/>
    <mergeCell ref="B4355:D4355"/>
    <mergeCell ref="G4355:H4355"/>
    <mergeCell ref="K4355:L4355"/>
    <mergeCell ref="B4346:D4346"/>
    <mergeCell ref="B4347:D4347"/>
    <mergeCell ref="B4348:D4348"/>
    <mergeCell ref="F4349:F4350"/>
    <mergeCell ref="G4349:J4349"/>
    <mergeCell ref="G4350:J4350"/>
    <mergeCell ref="A4343:L4343"/>
    <mergeCell ref="C4344:D4344"/>
    <mergeCell ref="J4344:L4344"/>
    <mergeCell ref="B4345:D4345"/>
    <mergeCell ref="G4345:H4345"/>
    <mergeCell ref="K4345:L4345"/>
    <mergeCell ref="A4340:C4340"/>
    <mergeCell ref="D4340:L4340"/>
    <mergeCell ref="A4341:C4341"/>
    <mergeCell ref="D4341:L4341"/>
    <mergeCell ref="A4342:C4342"/>
    <mergeCell ref="D4342:L4342"/>
    <mergeCell ref="A4337:C4337"/>
    <mergeCell ref="D4337:L4337"/>
    <mergeCell ref="A4338:C4338"/>
    <mergeCell ref="D4338:L4338"/>
    <mergeCell ref="A4339:C4339"/>
    <mergeCell ref="D4339:L4339"/>
    <mergeCell ref="A4333:L4333"/>
    <mergeCell ref="A4334:C4334"/>
    <mergeCell ref="D4334:L4334"/>
    <mergeCell ref="A4335:C4335"/>
    <mergeCell ref="D4335:L4335"/>
    <mergeCell ref="A4336:C4336"/>
    <mergeCell ref="D4336:L4336"/>
    <mergeCell ref="B4325:D4325"/>
    <mergeCell ref="B4326:D4326"/>
    <mergeCell ref="B4327:D4327"/>
    <mergeCell ref="B4328:D4328"/>
    <mergeCell ref="F4329:F4330"/>
    <mergeCell ref="G4329:J4329"/>
    <mergeCell ref="G4330:J4330"/>
    <mergeCell ref="B4319:D4319"/>
    <mergeCell ref="B4320:D4320"/>
    <mergeCell ref="B4321:D4321"/>
    <mergeCell ref="B4322:D4322"/>
    <mergeCell ref="B4323:D4323"/>
    <mergeCell ref="B4324:D4324"/>
    <mergeCell ref="B4314:D4314"/>
    <mergeCell ref="G4314:H4314"/>
    <mergeCell ref="K4314:L4314"/>
    <mergeCell ref="B4316:D4316"/>
    <mergeCell ref="B4317:D4317"/>
    <mergeCell ref="B4318:D4318"/>
    <mergeCell ref="B4306:D4306"/>
    <mergeCell ref="F4308:F4309"/>
    <mergeCell ref="G4308:J4308"/>
    <mergeCell ref="G4309:J4309"/>
    <mergeCell ref="A4312:L4312"/>
    <mergeCell ref="C4313:D4313"/>
    <mergeCell ref="J4313:L4313"/>
    <mergeCell ref="A4302:L4302"/>
    <mergeCell ref="J4303:L4303"/>
    <mergeCell ref="B4304:D4304"/>
    <mergeCell ref="G4304:H4304"/>
    <mergeCell ref="K4304:L4304"/>
    <mergeCell ref="B4305:D4305"/>
    <mergeCell ref="B4296:D4296"/>
    <mergeCell ref="G4296:H4296"/>
    <mergeCell ref="K4296:L4296"/>
    <mergeCell ref="B4297:D4297"/>
    <mergeCell ref="F4298:F4299"/>
    <mergeCell ref="G4298:J4298"/>
    <mergeCell ref="G4299:J4299"/>
    <mergeCell ref="B4289:D4289"/>
    <mergeCell ref="F4290:F4291"/>
    <mergeCell ref="G4290:J4290"/>
    <mergeCell ref="G4291:J4291"/>
    <mergeCell ref="A4294:L4294"/>
    <mergeCell ref="C4295:D4295"/>
    <mergeCell ref="J4295:L4295"/>
    <mergeCell ref="G4282:J4282"/>
    <mergeCell ref="G4283:J4283"/>
    <mergeCell ref="A4286:L4286"/>
    <mergeCell ref="C4287:D4287"/>
    <mergeCell ref="J4287:L4287"/>
    <mergeCell ref="B4288:D4288"/>
    <mergeCell ref="G4288:H4288"/>
    <mergeCell ref="K4288:L4288"/>
    <mergeCell ref="B4277:D4277"/>
    <mergeCell ref="B4278:D4278"/>
    <mergeCell ref="B4279:D4279"/>
    <mergeCell ref="B4280:D4280"/>
    <mergeCell ref="B4281:D4281"/>
    <mergeCell ref="F4282:F4283"/>
    <mergeCell ref="C4275:D4275"/>
    <mergeCell ref="J4275:L4275"/>
    <mergeCell ref="B4276:D4276"/>
    <mergeCell ref="G4276:H4276"/>
    <mergeCell ref="K4276:L4276"/>
    <mergeCell ref="A4271:C4271"/>
    <mergeCell ref="D4271:L4271"/>
    <mergeCell ref="A4272:C4272"/>
    <mergeCell ref="D4272:L4272"/>
    <mergeCell ref="A4273:C4273"/>
    <mergeCell ref="D4273:L4273"/>
    <mergeCell ref="A4268:C4268"/>
    <mergeCell ref="D4268:L4268"/>
    <mergeCell ref="A4269:C4269"/>
    <mergeCell ref="D4269:L4269"/>
    <mergeCell ref="A4270:C4270"/>
    <mergeCell ref="D4270:L4270"/>
    <mergeCell ref="A4264:L4264"/>
    <mergeCell ref="A4265:C4265"/>
    <mergeCell ref="D4265:L4265"/>
    <mergeCell ref="A4266:C4266"/>
    <mergeCell ref="D4266:L4266"/>
    <mergeCell ref="A4267:C4267"/>
    <mergeCell ref="D4267:L4267"/>
    <mergeCell ref="B4255:D4255"/>
    <mergeCell ref="B4256:D4256"/>
    <mergeCell ref="B4257:D4257"/>
    <mergeCell ref="B4258:D4258"/>
    <mergeCell ref="F4260:F4261"/>
    <mergeCell ref="G4260:J4260"/>
    <mergeCell ref="G4261:J4261"/>
    <mergeCell ref="G4240:J4240"/>
    <mergeCell ref="G4241:J4241"/>
    <mergeCell ref="A4252:L4252"/>
    <mergeCell ref="C4253:D4253"/>
    <mergeCell ref="J4253:L4253"/>
    <mergeCell ref="B4254:D4254"/>
    <mergeCell ref="G4254:H4254"/>
    <mergeCell ref="K4254:L4254"/>
    <mergeCell ref="A4244:L4244"/>
    <mergeCell ref="C4245:D4245"/>
    <mergeCell ref="J4245:L4245"/>
    <mergeCell ref="B4247:D4247"/>
    <mergeCell ref="I4247:J4247"/>
    <mergeCell ref="F4248:F4249"/>
    <mergeCell ref="G4248:J4248"/>
    <mergeCell ref="G4249:J4249"/>
    <mergeCell ref="B4246:D4246"/>
    <mergeCell ref="G4246:H4246"/>
    <mergeCell ref="B4234:D4234"/>
    <mergeCell ref="B4235:D4235"/>
    <mergeCell ref="B4236:D4236"/>
    <mergeCell ref="B4237:D4237"/>
    <mergeCell ref="B4238:D4238"/>
    <mergeCell ref="F4240:F4241"/>
    <mergeCell ref="A4231:L4231"/>
    <mergeCell ref="C4232:D4232"/>
    <mergeCell ref="J4232:L4232"/>
    <mergeCell ref="B4233:D4233"/>
    <mergeCell ref="G4233:H4233"/>
    <mergeCell ref="K4233:L4233"/>
    <mergeCell ref="A4228:C4228"/>
    <mergeCell ref="D4228:L4228"/>
    <mergeCell ref="A4229:C4229"/>
    <mergeCell ref="D4229:L4229"/>
    <mergeCell ref="A4230:C4230"/>
    <mergeCell ref="D4230:L4230"/>
    <mergeCell ref="A4225:C4225"/>
    <mergeCell ref="D4225:L4225"/>
    <mergeCell ref="A4226:C4226"/>
    <mergeCell ref="D4226:L4226"/>
    <mergeCell ref="A4227:C4227"/>
    <mergeCell ref="D4227:L4227"/>
    <mergeCell ref="A4222:C4222"/>
    <mergeCell ref="D4222:L4222"/>
    <mergeCell ref="A4223:C4223"/>
    <mergeCell ref="D4223:L4223"/>
    <mergeCell ref="A4224:C4224"/>
    <mergeCell ref="D4224:L4224"/>
    <mergeCell ref="B4215:D4215"/>
    <mergeCell ref="B4216:D4216"/>
    <mergeCell ref="F4217:F4218"/>
    <mergeCell ref="G4217:J4217"/>
    <mergeCell ref="G4218:J4218"/>
    <mergeCell ref="A4221:L4221"/>
    <mergeCell ref="B4209:D4209"/>
    <mergeCell ref="B4210:D4210"/>
    <mergeCell ref="B4211:D4211"/>
    <mergeCell ref="B4212:D4212"/>
    <mergeCell ref="B4213:D4213"/>
    <mergeCell ref="B4214:D4214"/>
    <mergeCell ref="A4206:L4206"/>
    <mergeCell ref="C4207:D4207"/>
    <mergeCell ref="J4207:L4207"/>
    <mergeCell ref="B4208:D4208"/>
    <mergeCell ref="G4208:H4208"/>
    <mergeCell ref="K4208:L4208"/>
    <mergeCell ref="A4203:C4203"/>
    <mergeCell ref="D4203:L4203"/>
    <mergeCell ref="A4204:C4204"/>
    <mergeCell ref="D4204:L4204"/>
    <mergeCell ref="A4205:C4205"/>
    <mergeCell ref="D4205:L4205"/>
    <mergeCell ref="A4200:C4200"/>
    <mergeCell ref="D4200:L4200"/>
    <mergeCell ref="A4201:C4201"/>
    <mergeCell ref="D4201:L4201"/>
    <mergeCell ref="A4202:C4202"/>
    <mergeCell ref="D4202:L4202"/>
    <mergeCell ref="A4197:C4197"/>
    <mergeCell ref="D4197:L4197"/>
    <mergeCell ref="A4198:C4198"/>
    <mergeCell ref="D4198:L4198"/>
    <mergeCell ref="A4199:C4199"/>
    <mergeCell ref="D4199:L4199"/>
    <mergeCell ref="B4190:D4190"/>
    <mergeCell ref="H4191:J4191"/>
    <mergeCell ref="F4192:F4193"/>
    <mergeCell ref="G4192:J4192"/>
    <mergeCell ref="G4193:J4193"/>
    <mergeCell ref="A4196:L4196"/>
    <mergeCell ref="B4184:D4184"/>
    <mergeCell ref="B4185:D4185"/>
    <mergeCell ref="B4186:D4186"/>
    <mergeCell ref="B4187:D4187"/>
    <mergeCell ref="B4188:D4188"/>
    <mergeCell ref="H4189:J4189"/>
    <mergeCell ref="B4179:D4179"/>
    <mergeCell ref="A4181:L4181"/>
    <mergeCell ref="C4182:D4182"/>
    <mergeCell ref="J4182:L4182"/>
    <mergeCell ref="B4183:D4183"/>
    <mergeCell ref="G4183:H4183"/>
    <mergeCell ref="K4183:L4183"/>
    <mergeCell ref="B4176:D4176"/>
    <mergeCell ref="I4176:J4176"/>
    <mergeCell ref="B4177:D4177"/>
    <mergeCell ref="I4177:J4177"/>
    <mergeCell ref="B4178:D4178"/>
    <mergeCell ref="I4178:J4178"/>
    <mergeCell ref="B4174:D4174"/>
    <mergeCell ref="G4174:H4174"/>
    <mergeCell ref="I4174:J4174"/>
    <mergeCell ref="K4174:L4174"/>
    <mergeCell ref="B4175:D4175"/>
    <mergeCell ref="I4175:J4175"/>
    <mergeCell ref="B4167:D4167"/>
    <mergeCell ref="F4168:F4169"/>
    <mergeCell ref="G4168:J4168"/>
    <mergeCell ref="G4169:J4169"/>
    <mergeCell ref="A4172:L4172"/>
    <mergeCell ref="C4173:D4173"/>
    <mergeCell ref="J4173:L4173"/>
    <mergeCell ref="B4162:D4162"/>
    <mergeCell ref="B4163:D4163"/>
    <mergeCell ref="B4164:D4164"/>
    <mergeCell ref="B4165:D4165"/>
    <mergeCell ref="B4166:D4166"/>
    <mergeCell ref="C4159:D4159"/>
    <mergeCell ref="J4159:L4159"/>
    <mergeCell ref="B4160:D4160"/>
    <mergeCell ref="G4160:H4160"/>
    <mergeCell ref="K4160:L4160"/>
    <mergeCell ref="B4161:D4161"/>
    <mergeCell ref="A4158:L4158"/>
    <mergeCell ref="B4152:D4152"/>
    <mergeCell ref="B4153:D4153"/>
    <mergeCell ref="F4154:F4155"/>
    <mergeCell ref="G4154:J4154"/>
    <mergeCell ref="G4155:J4155"/>
    <mergeCell ref="C4149:D4149"/>
    <mergeCell ref="J4149:L4149"/>
    <mergeCell ref="B4150:D4150"/>
    <mergeCell ref="G4150:H4150"/>
    <mergeCell ref="K4150:L4150"/>
    <mergeCell ref="B4151:D4151"/>
    <mergeCell ref="B4142:D4142"/>
    <mergeCell ref="B4143:D4143"/>
    <mergeCell ref="F4144:F4145"/>
    <mergeCell ref="G4144:J4144"/>
    <mergeCell ref="G4145:J4145"/>
    <mergeCell ref="A4148:L4148"/>
    <mergeCell ref="B4137:D4137"/>
    <mergeCell ref="G4137:H4137"/>
    <mergeCell ref="K4137:L4137"/>
    <mergeCell ref="B4138:D4138"/>
    <mergeCell ref="B4139:D4139"/>
    <mergeCell ref="B4140:D4140"/>
    <mergeCell ref="B4130:D4130"/>
    <mergeCell ref="F4131:F4132"/>
    <mergeCell ref="G4131:J4131"/>
    <mergeCell ref="G4132:J4132"/>
    <mergeCell ref="A4135:L4135"/>
    <mergeCell ref="C4136:D4136"/>
    <mergeCell ref="J4136:L4136"/>
    <mergeCell ref="A4127:L4127"/>
    <mergeCell ref="C4128:D4128"/>
    <mergeCell ref="J4128:L4128"/>
    <mergeCell ref="B4129:D4129"/>
    <mergeCell ref="G4129:H4129"/>
    <mergeCell ref="K4129:L4129"/>
    <mergeCell ref="B4120:D4120"/>
    <mergeCell ref="G4120:H4120"/>
    <mergeCell ref="K4120:L4120"/>
    <mergeCell ref="B4121:D4121"/>
    <mergeCell ref="B4122:D4122"/>
    <mergeCell ref="F4123:F4124"/>
    <mergeCell ref="G4123:J4123"/>
    <mergeCell ref="G4124:J4124"/>
    <mergeCell ref="B4115:D4115"/>
    <mergeCell ref="I4115:J4115"/>
    <mergeCell ref="A4118:L4118"/>
    <mergeCell ref="C4119:D4119"/>
    <mergeCell ref="J4119:L4119"/>
    <mergeCell ref="B4112:D4112"/>
    <mergeCell ref="I4112:J4112"/>
    <mergeCell ref="B4113:D4113"/>
    <mergeCell ref="I4113:J4113"/>
    <mergeCell ref="B4114:D4114"/>
    <mergeCell ref="I4114:J4114"/>
    <mergeCell ref="B4109:D4109"/>
    <mergeCell ref="I4109:J4109"/>
    <mergeCell ref="B4110:D4110"/>
    <mergeCell ref="I4110:J4110"/>
    <mergeCell ref="B4111:D4111"/>
    <mergeCell ref="I4111:J4111"/>
    <mergeCell ref="B4106:D4106"/>
    <mergeCell ref="I4106:J4106"/>
    <mergeCell ref="B4107:D4107"/>
    <mergeCell ref="I4107:J4107"/>
    <mergeCell ref="B4108:D4108"/>
    <mergeCell ref="I4108:J4108"/>
    <mergeCell ref="B4104:D4104"/>
    <mergeCell ref="I4104:J4104"/>
    <mergeCell ref="K4104:L4104"/>
    <mergeCell ref="B4105:D4105"/>
    <mergeCell ref="I4105:J4105"/>
    <mergeCell ref="B4100:D4100"/>
    <mergeCell ref="I4100:J4100"/>
    <mergeCell ref="B4101:D4101"/>
    <mergeCell ref="E4101:H4101"/>
    <mergeCell ref="A4102:L4102"/>
    <mergeCell ref="C4103:D4103"/>
    <mergeCell ref="J4103:L4103"/>
    <mergeCell ref="A4096:C4096"/>
    <mergeCell ref="D4096:L4096"/>
    <mergeCell ref="A4097:L4097"/>
    <mergeCell ref="C4098:D4098"/>
    <mergeCell ref="J4098:L4098"/>
    <mergeCell ref="B4099:D4099"/>
    <mergeCell ref="I4099:J4099"/>
    <mergeCell ref="K4099:L4099"/>
    <mergeCell ref="A4093:C4093"/>
    <mergeCell ref="D4093:L4093"/>
    <mergeCell ref="A4094:C4094"/>
    <mergeCell ref="D4094:L4094"/>
    <mergeCell ref="A4095:C4095"/>
    <mergeCell ref="D4095:L4095"/>
    <mergeCell ref="A4090:C4090"/>
    <mergeCell ref="D4090:L4090"/>
    <mergeCell ref="A4091:C4091"/>
    <mergeCell ref="D4091:L4091"/>
    <mergeCell ref="A4092:C4092"/>
    <mergeCell ref="D4092:L4092"/>
    <mergeCell ref="B4085:D4085"/>
    <mergeCell ref="A4087:L4087"/>
    <mergeCell ref="A4088:C4088"/>
    <mergeCell ref="D4088:L4088"/>
    <mergeCell ref="A4089:C4089"/>
    <mergeCell ref="D4089:L4089"/>
    <mergeCell ref="B4079:D4079"/>
    <mergeCell ref="B4080:D4080"/>
    <mergeCell ref="B4082:D4082"/>
    <mergeCell ref="G4082:H4082"/>
    <mergeCell ref="F4083:F4084"/>
    <mergeCell ref="G4083:J4083"/>
    <mergeCell ref="G4084:J4084"/>
    <mergeCell ref="A4076:L4076"/>
    <mergeCell ref="C4077:D4077"/>
    <mergeCell ref="J4077:L4077"/>
    <mergeCell ref="B4078:D4078"/>
    <mergeCell ref="G4078:H4078"/>
    <mergeCell ref="K4078:L4078"/>
    <mergeCell ref="A4073:C4073"/>
    <mergeCell ref="D4073:L4073"/>
    <mergeCell ref="A4074:C4074"/>
    <mergeCell ref="D4074:L4074"/>
    <mergeCell ref="A4075:C4075"/>
    <mergeCell ref="D4075:L4075"/>
    <mergeCell ref="A4070:C4070"/>
    <mergeCell ref="D4070:L4070"/>
    <mergeCell ref="A4071:C4071"/>
    <mergeCell ref="D4071:L4071"/>
    <mergeCell ref="A4072:C4072"/>
    <mergeCell ref="D4072:L4072"/>
    <mergeCell ref="A4067:C4067"/>
    <mergeCell ref="D4067:L4067"/>
    <mergeCell ref="A4068:C4068"/>
    <mergeCell ref="D4068:L4068"/>
    <mergeCell ref="A4069:C4069"/>
    <mergeCell ref="D4069:L4069"/>
    <mergeCell ref="K4060:L4060"/>
    <mergeCell ref="B4061:D4061"/>
    <mergeCell ref="F4062:F4063"/>
    <mergeCell ref="G4062:J4062"/>
    <mergeCell ref="G4063:J4063"/>
    <mergeCell ref="A4066:L4066"/>
    <mergeCell ref="A4056:C4056"/>
    <mergeCell ref="D4056:L4056"/>
    <mergeCell ref="A4057:C4057"/>
    <mergeCell ref="D4057:L4057"/>
    <mergeCell ref="A4058:L4058"/>
    <mergeCell ref="J4059:L4059"/>
    <mergeCell ref="A4053:C4053"/>
    <mergeCell ref="D4053:L4053"/>
    <mergeCell ref="A4054:C4054"/>
    <mergeCell ref="D4054:L4054"/>
    <mergeCell ref="A4055:C4055"/>
    <mergeCell ref="D4055:L4055"/>
    <mergeCell ref="A4050:C4050"/>
    <mergeCell ref="D4050:L4050"/>
    <mergeCell ref="A4051:C4051"/>
    <mergeCell ref="D4051:L4051"/>
    <mergeCell ref="A4052:C4052"/>
    <mergeCell ref="D4052:L4052"/>
    <mergeCell ref="B4043:D4043"/>
    <mergeCell ref="F4044:F4045"/>
    <mergeCell ref="G4044:J4044"/>
    <mergeCell ref="G4045:J4045"/>
    <mergeCell ref="A4048:L4048"/>
    <mergeCell ref="A4049:C4049"/>
    <mergeCell ref="D4049:L4049"/>
    <mergeCell ref="A4040:L4040"/>
    <mergeCell ref="C4041:D4041"/>
    <mergeCell ref="J4041:L4041"/>
    <mergeCell ref="B4042:D4042"/>
    <mergeCell ref="G4042:H4042"/>
    <mergeCell ref="K4042:L4042"/>
    <mergeCell ref="A4037:C4037"/>
    <mergeCell ref="D4037:L4037"/>
    <mergeCell ref="A4038:C4038"/>
    <mergeCell ref="D4038:L4038"/>
    <mergeCell ref="A4039:C4039"/>
    <mergeCell ref="D4039:L4039"/>
    <mergeCell ref="A4034:C4034"/>
    <mergeCell ref="D4034:L4034"/>
    <mergeCell ref="A4035:C4035"/>
    <mergeCell ref="D4035:L4035"/>
    <mergeCell ref="A4036:C4036"/>
    <mergeCell ref="D4036:L4036"/>
    <mergeCell ref="A4030:L4030"/>
    <mergeCell ref="A4031:C4031"/>
    <mergeCell ref="D4031:L4031"/>
    <mergeCell ref="A4032:C4032"/>
    <mergeCell ref="D4032:L4032"/>
    <mergeCell ref="A4033:C4033"/>
    <mergeCell ref="D4033:L4033"/>
    <mergeCell ref="B4023:D4023"/>
    <mergeCell ref="B4024:D4024"/>
    <mergeCell ref="B4025:D4025"/>
    <mergeCell ref="F4026:F4027"/>
    <mergeCell ref="G4026:J4026"/>
    <mergeCell ref="G4027:J4027"/>
    <mergeCell ref="C4020:D4020"/>
    <mergeCell ref="J4020:L4020"/>
    <mergeCell ref="B4021:D4021"/>
    <mergeCell ref="G4021:H4021"/>
    <mergeCell ref="K4021:L4021"/>
    <mergeCell ref="B4022:D4022"/>
    <mergeCell ref="B4012:D4012"/>
    <mergeCell ref="B4014:D4014"/>
    <mergeCell ref="F4015:F4016"/>
    <mergeCell ref="G4015:J4015"/>
    <mergeCell ref="G4016:J4016"/>
    <mergeCell ref="A4019:L4019"/>
    <mergeCell ref="A4008:L4008"/>
    <mergeCell ref="C4009:D4009"/>
    <mergeCell ref="J4009:L4009"/>
    <mergeCell ref="B4010:D4010"/>
    <mergeCell ref="G4010:H4010"/>
    <mergeCell ref="K4010:L4010"/>
    <mergeCell ref="A4005:C4005"/>
    <mergeCell ref="D4005:L4005"/>
    <mergeCell ref="A4006:C4006"/>
    <mergeCell ref="D4006:L4006"/>
    <mergeCell ref="A4007:C4007"/>
    <mergeCell ref="D4007:L4007"/>
    <mergeCell ref="A4002:C4002"/>
    <mergeCell ref="D4002:L4002"/>
    <mergeCell ref="A4003:C4003"/>
    <mergeCell ref="D4003:L4003"/>
    <mergeCell ref="A4004:C4004"/>
    <mergeCell ref="D4004:L4004"/>
    <mergeCell ref="A3999:C3999"/>
    <mergeCell ref="D3999:L3999"/>
    <mergeCell ref="A4000:C4000"/>
    <mergeCell ref="D4000:L4000"/>
    <mergeCell ref="A4001:C4001"/>
    <mergeCell ref="D4001:L4001"/>
    <mergeCell ref="B3989:D3989"/>
    <mergeCell ref="B3993:D3993"/>
    <mergeCell ref="F3994:F3995"/>
    <mergeCell ref="G3994:J3994"/>
    <mergeCell ref="G3995:J3995"/>
    <mergeCell ref="A3998:L3998"/>
    <mergeCell ref="A3985:L3985"/>
    <mergeCell ref="C3986:D3986"/>
    <mergeCell ref="J3986:L3986"/>
    <mergeCell ref="B3987:D3987"/>
    <mergeCell ref="G3987:H3987"/>
    <mergeCell ref="K3987:L3987"/>
    <mergeCell ref="B3979:D3979"/>
    <mergeCell ref="G3979:H3979"/>
    <mergeCell ref="K3979:L3979"/>
    <mergeCell ref="B3980:D3980"/>
    <mergeCell ref="F3981:F3982"/>
    <mergeCell ref="G3981:J3981"/>
    <mergeCell ref="G3982:J3982"/>
    <mergeCell ref="B3983:D3984"/>
    <mergeCell ref="A3975:C3975"/>
    <mergeCell ref="D3975:L3975"/>
    <mergeCell ref="A3976:C3976"/>
    <mergeCell ref="D3976:L3976"/>
    <mergeCell ref="A3977:L3977"/>
    <mergeCell ref="C3978:D3978"/>
    <mergeCell ref="J3978:L3978"/>
    <mergeCell ref="A3972:C3972"/>
    <mergeCell ref="D3972:L3972"/>
    <mergeCell ref="A3973:C3973"/>
    <mergeCell ref="D3973:L3973"/>
    <mergeCell ref="A3974:C3974"/>
    <mergeCell ref="D3974:L3974"/>
    <mergeCell ref="A3969:C3969"/>
    <mergeCell ref="D3969:L3969"/>
    <mergeCell ref="A3970:C3970"/>
    <mergeCell ref="D3970:L3970"/>
    <mergeCell ref="A3971:C3971"/>
    <mergeCell ref="D3971:L3971"/>
    <mergeCell ref="B3962:D3962"/>
    <mergeCell ref="F3963:F3964"/>
    <mergeCell ref="G3963:J3963"/>
    <mergeCell ref="G3964:J3964"/>
    <mergeCell ref="A3967:L3967"/>
    <mergeCell ref="A3968:C3968"/>
    <mergeCell ref="D3968:L3968"/>
    <mergeCell ref="B3958:D3958"/>
    <mergeCell ref="A3959:L3959"/>
    <mergeCell ref="C3960:D3960"/>
    <mergeCell ref="J3960:L3960"/>
    <mergeCell ref="B3961:D3961"/>
    <mergeCell ref="G3961:H3961"/>
    <mergeCell ref="K3961:L3961"/>
    <mergeCell ref="B3955:D3955"/>
    <mergeCell ref="I3955:J3955"/>
    <mergeCell ref="B3956:D3956"/>
    <mergeCell ref="I3956:J3956"/>
    <mergeCell ref="B3957:D3957"/>
    <mergeCell ref="I3957:J3957"/>
    <mergeCell ref="A3952:L3952"/>
    <mergeCell ref="C3953:D3953"/>
    <mergeCell ref="J3953:L3953"/>
    <mergeCell ref="B3954:D3954"/>
    <mergeCell ref="G3954:H3954"/>
    <mergeCell ref="I3954:J3954"/>
    <mergeCell ref="K3954:L3954"/>
    <mergeCell ref="A3947:D3948"/>
    <mergeCell ref="B3949:D3949"/>
    <mergeCell ref="I3949:J3949"/>
    <mergeCell ref="B3950:D3950"/>
    <mergeCell ref="I3950:J3950"/>
    <mergeCell ref="A3951:D3951"/>
    <mergeCell ref="B3944:D3944"/>
    <mergeCell ref="I3944:J3944"/>
    <mergeCell ref="B3945:D3945"/>
    <mergeCell ref="I3945:J3945"/>
    <mergeCell ref="B3946:D3946"/>
    <mergeCell ref="I3946:J3946"/>
    <mergeCell ref="B3939:D3939"/>
    <mergeCell ref="I3939:J3939"/>
    <mergeCell ref="B3940:D3940"/>
    <mergeCell ref="I3940:J3940"/>
    <mergeCell ref="B3942:D3942"/>
    <mergeCell ref="B3943:D3943"/>
    <mergeCell ref="I3943:J3943"/>
    <mergeCell ref="B3935:D3935"/>
    <mergeCell ref="B3936:D3936"/>
    <mergeCell ref="I3936:J3936"/>
    <mergeCell ref="B3937:D3937"/>
    <mergeCell ref="I3937:J3937"/>
    <mergeCell ref="B3938:D3938"/>
    <mergeCell ref="I3938:J3938"/>
    <mergeCell ref="B3931:D3931"/>
    <mergeCell ref="A3932:L3932"/>
    <mergeCell ref="C3933:D3933"/>
    <mergeCell ref="J3933:L3933"/>
    <mergeCell ref="B3934:D3934"/>
    <mergeCell ref="G3934:H3934"/>
    <mergeCell ref="I3934:J3934"/>
    <mergeCell ref="K3934:L3934"/>
    <mergeCell ref="B3928:D3928"/>
    <mergeCell ref="I3928:J3928"/>
    <mergeCell ref="B3929:D3929"/>
    <mergeCell ref="I3929:J3929"/>
    <mergeCell ref="B3930:D3930"/>
    <mergeCell ref="I3930:J3930"/>
    <mergeCell ref="A3925:L3925"/>
    <mergeCell ref="C3926:D3926"/>
    <mergeCell ref="J3926:L3926"/>
    <mergeCell ref="B3927:D3927"/>
    <mergeCell ref="G3927:H3927"/>
    <mergeCell ref="I3927:J3927"/>
    <mergeCell ref="K3927:L3927"/>
    <mergeCell ref="B3918:D3918"/>
    <mergeCell ref="B3919:D3919"/>
    <mergeCell ref="B3920:D3920"/>
    <mergeCell ref="F3921:F3922"/>
    <mergeCell ref="G3921:J3921"/>
    <mergeCell ref="G3922:J3922"/>
    <mergeCell ref="C3915:D3915"/>
    <mergeCell ref="J3915:L3915"/>
    <mergeCell ref="B3916:D3916"/>
    <mergeCell ref="G3916:H3916"/>
    <mergeCell ref="K3916:L3916"/>
    <mergeCell ref="B3917:D3917"/>
    <mergeCell ref="B3907:D3907"/>
    <mergeCell ref="B3908:D3908"/>
    <mergeCell ref="F3910:F3911"/>
    <mergeCell ref="G3910:J3910"/>
    <mergeCell ref="G3911:J3911"/>
    <mergeCell ref="A3914:L3914"/>
    <mergeCell ref="A3904:L3904"/>
    <mergeCell ref="C3905:D3905"/>
    <mergeCell ref="J3905:L3905"/>
    <mergeCell ref="B3906:D3906"/>
    <mergeCell ref="G3906:H3906"/>
    <mergeCell ref="K3906:L3906"/>
    <mergeCell ref="B3901:D3901"/>
    <mergeCell ref="I3901:J3901"/>
    <mergeCell ref="B3902:D3902"/>
    <mergeCell ref="I3902:J3902"/>
    <mergeCell ref="B3903:D3903"/>
    <mergeCell ref="B3899:D3899"/>
    <mergeCell ref="G3899:H3899"/>
    <mergeCell ref="I3899:J3899"/>
    <mergeCell ref="K3899:L3899"/>
    <mergeCell ref="B3900:D3900"/>
    <mergeCell ref="I3900:J3900"/>
    <mergeCell ref="B3892:D3892"/>
    <mergeCell ref="F3893:F3894"/>
    <mergeCell ref="G3893:J3893"/>
    <mergeCell ref="G3894:J3894"/>
    <mergeCell ref="A3897:L3897"/>
    <mergeCell ref="C3898:D3898"/>
    <mergeCell ref="J3898:L3898"/>
    <mergeCell ref="B3887:D3887"/>
    <mergeCell ref="G3887:H3887"/>
    <mergeCell ref="K3887:L3887"/>
    <mergeCell ref="B3888:D3888"/>
    <mergeCell ref="B3889:D3889"/>
    <mergeCell ref="B3891:D3891"/>
    <mergeCell ref="B3883:D3883"/>
    <mergeCell ref="I3883:J3883"/>
    <mergeCell ref="B3884:D3884"/>
    <mergeCell ref="A3885:L3885"/>
    <mergeCell ref="C3886:D3886"/>
    <mergeCell ref="J3886:L3886"/>
    <mergeCell ref="B3880:D3880"/>
    <mergeCell ref="I3880:J3880"/>
    <mergeCell ref="B3881:D3881"/>
    <mergeCell ref="I3881:J3881"/>
    <mergeCell ref="B3882:D3882"/>
    <mergeCell ref="I3882:J3882"/>
    <mergeCell ref="C3878:D3878"/>
    <mergeCell ref="J3878:L3878"/>
    <mergeCell ref="B3879:D3879"/>
    <mergeCell ref="G3879:H3879"/>
    <mergeCell ref="I3879:J3879"/>
    <mergeCell ref="K3879:L3879"/>
    <mergeCell ref="B3873:D3873"/>
    <mergeCell ref="I3873:J3873"/>
    <mergeCell ref="B3874:D3874"/>
    <mergeCell ref="I3874:J3874"/>
    <mergeCell ref="B3876:D3876"/>
    <mergeCell ref="A3877:L3877"/>
    <mergeCell ref="B3871:D3871"/>
    <mergeCell ref="G3871:H3871"/>
    <mergeCell ref="I3871:J3871"/>
    <mergeCell ref="K3871:L3871"/>
    <mergeCell ref="B3872:D3872"/>
    <mergeCell ref="I3872:J3872"/>
    <mergeCell ref="A3867:C3867"/>
    <mergeCell ref="D3867:L3867"/>
    <mergeCell ref="A3868:C3868"/>
    <mergeCell ref="D3868:L3868"/>
    <mergeCell ref="A3869:L3869"/>
    <mergeCell ref="C3870:D3870"/>
    <mergeCell ref="J3870:L3870"/>
    <mergeCell ref="A3864:C3864"/>
    <mergeCell ref="D3864:L3864"/>
    <mergeCell ref="A3865:C3865"/>
    <mergeCell ref="D3865:L3865"/>
    <mergeCell ref="A3866:C3866"/>
    <mergeCell ref="D3866:L3866"/>
    <mergeCell ref="A3861:C3861"/>
    <mergeCell ref="D3861:L3861"/>
    <mergeCell ref="A3862:C3862"/>
    <mergeCell ref="D3862:L3862"/>
    <mergeCell ref="A3863:C3863"/>
    <mergeCell ref="D3863:L3863"/>
    <mergeCell ref="G3854:H3854"/>
    <mergeCell ref="F3855:F3856"/>
    <mergeCell ref="G3855:J3855"/>
    <mergeCell ref="G3856:J3856"/>
    <mergeCell ref="A3859:L3859"/>
    <mergeCell ref="A3860:C3860"/>
    <mergeCell ref="D3860:L3860"/>
    <mergeCell ref="A3848:L3848"/>
    <mergeCell ref="C3849:D3849"/>
    <mergeCell ref="J3849:L3849"/>
    <mergeCell ref="B3850:D3850"/>
    <mergeCell ref="G3850:H3850"/>
    <mergeCell ref="K3850:L3850"/>
    <mergeCell ref="B3842:D3842"/>
    <mergeCell ref="B3843:F3843"/>
    <mergeCell ref="F3844:F3845"/>
    <mergeCell ref="G3844:J3844"/>
    <mergeCell ref="G3845:J3845"/>
    <mergeCell ref="C3839:D3839"/>
    <mergeCell ref="J3839:L3839"/>
    <mergeCell ref="B3840:D3840"/>
    <mergeCell ref="G3840:H3840"/>
    <mergeCell ref="K3840:L3840"/>
    <mergeCell ref="B3841:D3841"/>
    <mergeCell ref="B3834:D3834"/>
    <mergeCell ref="I3834:J3834"/>
    <mergeCell ref="B3835:D3835"/>
    <mergeCell ref="I3835:J3835"/>
    <mergeCell ref="B3836:D3836"/>
    <mergeCell ref="A3838:L3838"/>
    <mergeCell ref="A3831:L3831"/>
    <mergeCell ref="C3832:D3832"/>
    <mergeCell ref="J3832:L3832"/>
    <mergeCell ref="B3833:D3833"/>
    <mergeCell ref="G3833:H3833"/>
    <mergeCell ref="I3833:J3833"/>
    <mergeCell ref="K3833:L3833"/>
    <mergeCell ref="A3828:C3828"/>
    <mergeCell ref="D3828:L3828"/>
    <mergeCell ref="A3829:C3829"/>
    <mergeCell ref="D3829:L3829"/>
    <mergeCell ref="A3830:C3830"/>
    <mergeCell ref="D3830:L3830"/>
    <mergeCell ref="A3825:C3825"/>
    <mergeCell ref="D3825:L3825"/>
    <mergeCell ref="A3826:C3826"/>
    <mergeCell ref="D3826:L3826"/>
    <mergeCell ref="A3827:C3827"/>
    <mergeCell ref="D3827:L3827"/>
    <mergeCell ref="A3822:C3822"/>
    <mergeCell ref="D3822:L3822"/>
    <mergeCell ref="A3823:C3823"/>
    <mergeCell ref="D3823:L3823"/>
    <mergeCell ref="A3824:C3824"/>
    <mergeCell ref="D3824:L3824"/>
    <mergeCell ref="B3816:D3816"/>
    <mergeCell ref="F3817:F3818"/>
    <mergeCell ref="G3817:J3817"/>
    <mergeCell ref="G3818:J3818"/>
    <mergeCell ref="B3819:D3819"/>
    <mergeCell ref="A3821:L3821"/>
    <mergeCell ref="A3813:L3813"/>
    <mergeCell ref="C3814:D3814"/>
    <mergeCell ref="J3814:L3814"/>
    <mergeCell ref="B3815:D3815"/>
    <mergeCell ref="G3815:H3815"/>
    <mergeCell ref="K3815:L3815"/>
    <mergeCell ref="B3807:D3807"/>
    <mergeCell ref="K3807:L3807"/>
    <mergeCell ref="B3808:D3808"/>
    <mergeCell ref="B3809:D3809"/>
    <mergeCell ref="E3809:H3809"/>
    <mergeCell ref="A3810:L3812"/>
    <mergeCell ref="B3803:D3803"/>
    <mergeCell ref="E3803:H3803"/>
    <mergeCell ref="A3804:L3804"/>
    <mergeCell ref="A3805:L3805"/>
    <mergeCell ref="C3806:D3806"/>
    <mergeCell ref="G3806:H3806"/>
    <mergeCell ref="J3806:L3806"/>
    <mergeCell ref="C3800:D3800"/>
    <mergeCell ref="G3800:H3800"/>
    <mergeCell ref="J3800:L3800"/>
    <mergeCell ref="B3801:D3801"/>
    <mergeCell ref="K3801:L3801"/>
    <mergeCell ref="B3802:D3802"/>
    <mergeCell ref="B3793:D3793"/>
    <mergeCell ref="B3794:D3794"/>
    <mergeCell ref="F3795:F3796"/>
    <mergeCell ref="G3795:J3795"/>
    <mergeCell ref="G3796:J3796"/>
    <mergeCell ref="A3799:L3799"/>
    <mergeCell ref="B3787:D3787"/>
    <mergeCell ref="B3788:D3788"/>
    <mergeCell ref="B3789:D3789"/>
    <mergeCell ref="B3790:D3790"/>
    <mergeCell ref="B3791:D3791"/>
    <mergeCell ref="B3792:D3792"/>
    <mergeCell ref="A3784:L3784"/>
    <mergeCell ref="C3785:D3785"/>
    <mergeCell ref="J3785:L3785"/>
    <mergeCell ref="B3786:D3786"/>
    <mergeCell ref="G3786:H3786"/>
    <mergeCell ref="K3786:L3786"/>
    <mergeCell ref="B3778:D3778"/>
    <mergeCell ref="B3779:D3779"/>
    <mergeCell ref="B3780:D3780"/>
    <mergeCell ref="F3780:F3781"/>
    <mergeCell ref="G3780:J3780"/>
    <mergeCell ref="G3781:J3781"/>
    <mergeCell ref="A3775:L3775"/>
    <mergeCell ref="C3776:D3776"/>
    <mergeCell ref="J3776:L3776"/>
    <mergeCell ref="B3777:D3777"/>
    <mergeCell ref="G3777:H3777"/>
    <mergeCell ref="K3777:L3777"/>
    <mergeCell ref="A3772:C3772"/>
    <mergeCell ref="D3772:L3772"/>
    <mergeCell ref="A3773:C3773"/>
    <mergeCell ref="D3773:L3773"/>
    <mergeCell ref="A3774:C3774"/>
    <mergeCell ref="D3774:L3774"/>
    <mergeCell ref="A3769:C3769"/>
    <mergeCell ref="D3769:L3769"/>
    <mergeCell ref="A3770:C3770"/>
    <mergeCell ref="D3770:L3770"/>
    <mergeCell ref="A3771:C3771"/>
    <mergeCell ref="D3771:L3771"/>
    <mergeCell ref="A3765:L3765"/>
    <mergeCell ref="A3766:C3766"/>
    <mergeCell ref="D3766:L3766"/>
    <mergeCell ref="A3767:C3767"/>
    <mergeCell ref="D3767:L3767"/>
    <mergeCell ref="A3768:C3768"/>
    <mergeCell ref="D3768:L3768"/>
    <mergeCell ref="B3756:D3756"/>
    <mergeCell ref="G3757:H3757"/>
    <mergeCell ref="B3758:D3758"/>
    <mergeCell ref="B3759:D3759"/>
    <mergeCell ref="B3760:D3760"/>
    <mergeCell ref="F3761:F3762"/>
    <mergeCell ref="G3761:J3761"/>
    <mergeCell ref="G3762:J3762"/>
    <mergeCell ref="C3753:D3753"/>
    <mergeCell ref="J3753:L3753"/>
    <mergeCell ref="B3754:D3754"/>
    <mergeCell ref="G3754:H3754"/>
    <mergeCell ref="K3754:L3754"/>
    <mergeCell ref="B3755:D3755"/>
    <mergeCell ref="B3748:D3748"/>
    <mergeCell ref="I3748:J3748"/>
    <mergeCell ref="B3749:D3749"/>
    <mergeCell ref="I3749:J3749"/>
    <mergeCell ref="B3751:D3751"/>
    <mergeCell ref="A3752:L3752"/>
    <mergeCell ref="B3746:D3746"/>
    <mergeCell ref="G3746:H3746"/>
    <mergeCell ref="I3746:J3746"/>
    <mergeCell ref="K3746:L3746"/>
    <mergeCell ref="B3747:D3747"/>
    <mergeCell ref="I3747:J3747"/>
    <mergeCell ref="B3739:D3739"/>
    <mergeCell ref="F3740:F3741"/>
    <mergeCell ref="G3740:J3740"/>
    <mergeCell ref="G3741:J3741"/>
    <mergeCell ref="A3744:L3744"/>
    <mergeCell ref="C3745:D3745"/>
    <mergeCell ref="J3745:L3745"/>
    <mergeCell ref="A3734:L3734"/>
    <mergeCell ref="C3735:D3735"/>
    <mergeCell ref="J3735:L3735"/>
    <mergeCell ref="B3736:D3736"/>
    <mergeCell ref="G3736:H3736"/>
    <mergeCell ref="K3736:L3736"/>
    <mergeCell ref="B3725:D3725"/>
    <mergeCell ref="G3725:H3725"/>
    <mergeCell ref="K3725:L3725"/>
    <mergeCell ref="B3729:D3729"/>
    <mergeCell ref="F3730:F3731"/>
    <mergeCell ref="G3730:J3730"/>
    <mergeCell ref="G3731:J3731"/>
    <mergeCell ref="B3718:D3718"/>
    <mergeCell ref="F3719:F3720"/>
    <mergeCell ref="G3719:J3719"/>
    <mergeCell ref="G3720:J3720"/>
    <mergeCell ref="A3723:L3723"/>
    <mergeCell ref="C3724:D3724"/>
    <mergeCell ref="J3724:L3724"/>
    <mergeCell ref="A3715:L3715"/>
    <mergeCell ref="C3716:D3716"/>
    <mergeCell ref="J3716:L3716"/>
    <mergeCell ref="B3717:D3717"/>
    <mergeCell ref="G3717:H3717"/>
    <mergeCell ref="K3717:L3717"/>
    <mergeCell ref="B3709:D3709"/>
    <mergeCell ref="G3709:H3709"/>
    <mergeCell ref="K3709:L3709"/>
    <mergeCell ref="B3710:D3710"/>
    <mergeCell ref="F3711:F3712"/>
    <mergeCell ref="G3711:J3711"/>
    <mergeCell ref="G3712:J3712"/>
    <mergeCell ref="A3705:C3705"/>
    <mergeCell ref="D3705:L3705"/>
    <mergeCell ref="A3706:C3706"/>
    <mergeCell ref="D3706:L3706"/>
    <mergeCell ref="A3707:L3707"/>
    <mergeCell ref="C3708:D3708"/>
    <mergeCell ref="J3708:L3708"/>
    <mergeCell ref="A3702:C3702"/>
    <mergeCell ref="D3702:L3702"/>
    <mergeCell ref="A3703:C3703"/>
    <mergeCell ref="D3703:L3703"/>
    <mergeCell ref="A3704:C3704"/>
    <mergeCell ref="D3704:L3704"/>
    <mergeCell ref="A3699:C3699"/>
    <mergeCell ref="D3699:L3699"/>
    <mergeCell ref="A3700:C3700"/>
    <mergeCell ref="D3700:L3700"/>
    <mergeCell ref="A3701:C3701"/>
    <mergeCell ref="D3701:L3701"/>
    <mergeCell ref="B3692:D3692"/>
    <mergeCell ref="F3693:F3694"/>
    <mergeCell ref="G3693:J3693"/>
    <mergeCell ref="G3694:J3694"/>
    <mergeCell ref="A3697:L3697"/>
    <mergeCell ref="A3698:C3698"/>
    <mergeCell ref="D3698:L3698"/>
    <mergeCell ref="A3689:L3689"/>
    <mergeCell ref="C3690:D3690"/>
    <mergeCell ref="J3690:L3690"/>
    <mergeCell ref="B3691:D3691"/>
    <mergeCell ref="G3691:H3691"/>
    <mergeCell ref="K3691:L3691"/>
    <mergeCell ref="B3682:D3682"/>
    <mergeCell ref="B3683:D3683"/>
    <mergeCell ref="B3684:D3684"/>
    <mergeCell ref="F3685:F3686"/>
    <mergeCell ref="G3685:J3685"/>
    <mergeCell ref="G3686:J3686"/>
    <mergeCell ref="A3678:L3678"/>
    <mergeCell ref="C3679:D3679"/>
    <mergeCell ref="J3679:L3679"/>
    <mergeCell ref="B3680:D3680"/>
    <mergeCell ref="G3680:H3680"/>
    <mergeCell ref="K3680:L3680"/>
    <mergeCell ref="A3675:C3675"/>
    <mergeCell ref="D3675:L3675"/>
    <mergeCell ref="A3676:C3676"/>
    <mergeCell ref="D3676:L3676"/>
    <mergeCell ref="A3677:C3677"/>
    <mergeCell ref="D3677:L3677"/>
    <mergeCell ref="A3672:C3672"/>
    <mergeCell ref="D3672:L3672"/>
    <mergeCell ref="A3673:C3673"/>
    <mergeCell ref="D3673:L3673"/>
    <mergeCell ref="A3674:C3674"/>
    <mergeCell ref="D3674:L3674"/>
    <mergeCell ref="A3668:L3668"/>
    <mergeCell ref="A3669:C3669"/>
    <mergeCell ref="D3669:L3669"/>
    <mergeCell ref="A3670:C3670"/>
    <mergeCell ref="D3670:L3670"/>
    <mergeCell ref="A3671:C3671"/>
    <mergeCell ref="D3671:L3671"/>
    <mergeCell ref="B3661:D3661"/>
    <mergeCell ref="B3662:D3662"/>
    <mergeCell ref="B3663:D3663"/>
    <mergeCell ref="F3664:F3665"/>
    <mergeCell ref="G3664:J3664"/>
    <mergeCell ref="G3665:J3665"/>
    <mergeCell ref="A3658:L3658"/>
    <mergeCell ref="C3659:D3659"/>
    <mergeCell ref="J3659:L3659"/>
    <mergeCell ref="B3660:D3660"/>
    <mergeCell ref="G3660:H3660"/>
    <mergeCell ref="K3660:L3660"/>
    <mergeCell ref="B3651:D3651"/>
    <mergeCell ref="B3652:D3652"/>
    <mergeCell ref="B3653:D3653"/>
    <mergeCell ref="F3654:F3655"/>
    <mergeCell ref="G3654:J3654"/>
    <mergeCell ref="G3655:J3655"/>
    <mergeCell ref="B3634:D3634"/>
    <mergeCell ref="B3631:D3631"/>
    <mergeCell ref="B3632:D3632"/>
    <mergeCell ref="A3648:L3648"/>
    <mergeCell ref="C3649:D3649"/>
    <mergeCell ref="J3649:L3649"/>
    <mergeCell ref="B3650:D3650"/>
    <mergeCell ref="G3650:H3650"/>
    <mergeCell ref="K3650:L3650"/>
    <mergeCell ref="B3642:D3642"/>
    <mergeCell ref="G3642:H3642"/>
    <mergeCell ref="K3642:L3642"/>
    <mergeCell ref="B3643:D3643"/>
    <mergeCell ref="F3644:F3645"/>
    <mergeCell ref="G3644:J3644"/>
    <mergeCell ref="G3645:J3645"/>
    <mergeCell ref="F3636:F3637"/>
    <mergeCell ref="G3636:J3636"/>
    <mergeCell ref="G3637:J3637"/>
    <mergeCell ref="A3640:L3640"/>
    <mergeCell ref="C3641:D3641"/>
    <mergeCell ref="J3641:L3641"/>
    <mergeCell ref="C3564:D3564"/>
    <mergeCell ref="J3564:L3564"/>
    <mergeCell ref="B3562:D3562"/>
    <mergeCell ref="A3563:L3563"/>
    <mergeCell ref="B3558:D3558"/>
    <mergeCell ref="I3558:J3558"/>
    <mergeCell ref="B3559:D3559"/>
    <mergeCell ref="I3559:J3559"/>
    <mergeCell ref="B3560:D3560"/>
    <mergeCell ref="I3560:J3560"/>
    <mergeCell ref="B3635:D3635"/>
    <mergeCell ref="B3626:D3626"/>
    <mergeCell ref="A3627:L3627"/>
    <mergeCell ref="C3628:D3628"/>
    <mergeCell ref="J3628:L3628"/>
    <mergeCell ref="B3629:D3629"/>
    <mergeCell ref="G3629:H3629"/>
    <mergeCell ref="K3629:L3629"/>
    <mergeCell ref="B3622:D3622"/>
    <mergeCell ref="I3622:J3622"/>
    <mergeCell ref="B3623:D3623"/>
    <mergeCell ref="I3623:J3623"/>
    <mergeCell ref="B3624:D3624"/>
    <mergeCell ref="I3624:J3624"/>
    <mergeCell ref="B3618:D3618"/>
    <mergeCell ref="I3618:J3618"/>
    <mergeCell ref="B3619:D3619"/>
    <mergeCell ref="B3620:D3620"/>
    <mergeCell ref="I3620:J3620"/>
    <mergeCell ref="B3621:D3621"/>
    <mergeCell ref="I3621:J3621"/>
    <mergeCell ref="B3633:D3633"/>
    <mergeCell ref="B3555:D3555"/>
    <mergeCell ref="I3555:J3555"/>
    <mergeCell ref="B3556:D3556"/>
    <mergeCell ref="I3556:J3556"/>
    <mergeCell ref="B3557:D3557"/>
    <mergeCell ref="I3557:J3557"/>
    <mergeCell ref="A3552:L3552"/>
    <mergeCell ref="C3553:D3553"/>
    <mergeCell ref="J3553:L3553"/>
    <mergeCell ref="B3554:D3554"/>
    <mergeCell ref="G3554:H3554"/>
    <mergeCell ref="I3554:J3554"/>
    <mergeCell ref="K3554:L3554"/>
    <mergeCell ref="J3545:L3545"/>
    <mergeCell ref="B3546:D3546"/>
    <mergeCell ref="G3546:H3546"/>
    <mergeCell ref="K3546:L3546"/>
    <mergeCell ref="B3547:D3547"/>
    <mergeCell ref="F3548:F3549"/>
    <mergeCell ref="G3548:J3548"/>
    <mergeCell ref="G3549:J3549"/>
    <mergeCell ref="B3540:D3540"/>
    <mergeCell ref="I3540:J3540"/>
    <mergeCell ref="B3541:D3541"/>
    <mergeCell ref="I3541:J3541"/>
    <mergeCell ref="B3543:D3543"/>
    <mergeCell ref="A3544:L3544"/>
    <mergeCell ref="C3538:D3538"/>
    <mergeCell ref="J3538:L3538"/>
    <mergeCell ref="B3539:D3539"/>
    <mergeCell ref="G3539:H3539"/>
    <mergeCell ref="I3539:J3539"/>
    <mergeCell ref="K3539:L3539"/>
    <mergeCell ref="B3531:D3531"/>
    <mergeCell ref="F3533:F3534"/>
    <mergeCell ref="G3533:J3533"/>
    <mergeCell ref="G3534:J3534"/>
    <mergeCell ref="A3536:D3536"/>
    <mergeCell ref="A3537:L3537"/>
    <mergeCell ref="B3527:D3527"/>
    <mergeCell ref="G3527:H3527"/>
    <mergeCell ref="K3527:L3527"/>
    <mergeCell ref="B3528:D3528"/>
    <mergeCell ref="B3529:D3529"/>
    <mergeCell ref="B3530:D3530"/>
    <mergeCell ref="F3521:F3522"/>
    <mergeCell ref="G3521:J3521"/>
    <mergeCell ref="G3522:J3522"/>
    <mergeCell ref="A3524:D3524"/>
    <mergeCell ref="A3525:L3525"/>
    <mergeCell ref="C3526:D3526"/>
    <mergeCell ref="J3526:L3526"/>
    <mergeCell ref="C3518:D3518"/>
    <mergeCell ref="J3518:L3518"/>
    <mergeCell ref="B3519:D3519"/>
    <mergeCell ref="G3519:H3519"/>
    <mergeCell ref="K3519:L3519"/>
    <mergeCell ref="B3520:D3520"/>
    <mergeCell ref="B3512:D3512"/>
    <mergeCell ref="F3513:F3514"/>
    <mergeCell ref="G3513:J3513"/>
    <mergeCell ref="G3514:J3514"/>
    <mergeCell ref="A3516:D3516"/>
    <mergeCell ref="A3517:L3517"/>
    <mergeCell ref="B3508:D3508"/>
    <mergeCell ref="A3509:L3509"/>
    <mergeCell ref="C3510:D3510"/>
    <mergeCell ref="J3510:L3510"/>
    <mergeCell ref="B3511:D3511"/>
    <mergeCell ref="G3511:H3511"/>
    <mergeCell ref="K3511:L3511"/>
    <mergeCell ref="B3504:D3504"/>
    <mergeCell ref="I3504:J3504"/>
    <mergeCell ref="B3505:D3505"/>
    <mergeCell ref="I3505:J3505"/>
    <mergeCell ref="B3506:D3506"/>
    <mergeCell ref="I3506:J3506"/>
    <mergeCell ref="B3501:D3501"/>
    <mergeCell ref="I3501:J3501"/>
    <mergeCell ref="B3502:D3502"/>
    <mergeCell ref="I3502:J3502"/>
    <mergeCell ref="B3503:D3503"/>
    <mergeCell ref="I3503:J3503"/>
    <mergeCell ref="B3496:D3496"/>
    <mergeCell ref="A3498:L3498"/>
    <mergeCell ref="C3499:D3499"/>
    <mergeCell ref="J3499:L3499"/>
    <mergeCell ref="B3500:D3500"/>
    <mergeCell ref="G3500:H3500"/>
    <mergeCell ref="I3500:J3500"/>
    <mergeCell ref="K3500:L3500"/>
    <mergeCell ref="B3492:D3492"/>
    <mergeCell ref="G3492:H3492"/>
    <mergeCell ref="K3492:L3492"/>
    <mergeCell ref="B3493:D3493"/>
    <mergeCell ref="F3494:F3495"/>
    <mergeCell ref="G3494:J3494"/>
    <mergeCell ref="G3495:J3495"/>
    <mergeCell ref="B3485:D3485"/>
    <mergeCell ref="I3486:J3486"/>
    <mergeCell ref="B3487:D3487"/>
    <mergeCell ref="A3488:L3489"/>
    <mergeCell ref="A3490:L3490"/>
    <mergeCell ref="C3491:D3491"/>
    <mergeCell ref="J3491:L3491"/>
    <mergeCell ref="A3482:L3482"/>
    <mergeCell ref="C3483:D3483"/>
    <mergeCell ref="J3483:L3483"/>
    <mergeCell ref="B3484:D3484"/>
    <mergeCell ref="G3484:H3484"/>
    <mergeCell ref="K3484:L3484"/>
    <mergeCell ref="B3477:D3477"/>
    <mergeCell ref="F3478:F3479"/>
    <mergeCell ref="G3478:J3478"/>
    <mergeCell ref="G3479:J3479"/>
    <mergeCell ref="B3480:D3480"/>
    <mergeCell ref="B3472:D3472"/>
    <mergeCell ref="A3474:L3474"/>
    <mergeCell ref="C3475:D3475"/>
    <mergeCell ref="J3475:L3475"/>
    <mergeCell ref="B3476:D3476"/>
    <mergeCell ref="G3476:H3476"/>
    <mergeCell ref="K3476:L3476"/>
    <mergeCell ref="B3467:D3467"/>
    <mergeCell ref="B3468:D3468"/>
    <mergeCell ref="B3469:D3469"/>
    <mergeCell ref="F3470:F3471"/>
    <mergeCell ref="G3470:J3470"/>
    <mergeCell ref="G3471:J3471"/>
    <mergeCell ref="A3464:L3464"/>
    <mergeCell ref="C3465:D3465"/>
    <mergeCell ref="J3465:L3465"/>
    <mergeCell ref="B3466:D3466"/>
    <mergeCell ref="G3466:H3466"/>
    <mergeCell ref="K3466:L3466"/>
    <mergeCell ref="A3461:C3461"/>
    <mergeCell ref="D3461:L3461"/>
    <mergeCell ref="A3462:C3462"/>
    <mergeCell ref="D3462:L3462"/>
    <mergeCell ref="A3463:C3463"/>
    <mergeCell ref="D3463:L3463"/>
    <mergeCell ref="A3458:C3458"/>
    <mergeCell ref="D3458:L3458"/>
    <mergeCell ref="A3459:C3459"/>
    <mergeCell ref="D3459:L3459"/>
    <mergeCell ref="A3460:C3460"/>
    <mergeCell ref="D3460:L3460"/>
    <mergeCell ref="A3454:L3454"/>
    <mergeCell ref="A3455:C3455"/>
    <mergeCell ref="D3455:L3455"/>
    <mergeCell ref="A3456:C3456"/>
    <mergeCell ref="D3456:L3456"/>
    <mergeCell ref="A3457:C3457"/>
    <mergeCell ref="D3457:L3457"/>
    <mergeCell ref="B3447:D3447"/>
    <mergeCell ref="B3448:D3448"/>
    <mergeCell ref="I3448:J3448"/>
    <mergeCell ref="B3449:D3449"/>
    <mergeCell ref="I3449:J3449"/>
    <mergeCell ref="F3450:F3451"/>
    <mergeCell ref="G3450:J3450"/>
    <mergeCell ref="G3451:J3451"/>
    <mergeCell ref="B3441:D3441"/>
    <mergeCell ref="B3442:D3442"/>
    <mergeCell ref="B3443:D3443"/>
    <mergeCell ref="B3444:D3444"/>
    <mergeCell ref="B3445:D3445"/>
    <mergeCell ref="B3446:D3446"/>
    <mergeCell ref="B3433:D3433"/>
    <mergeCell ref="B3434:D3434"/>
    <mergeCell ref="B3435:D3435"/>
    <mergeCell ref="B3436:D3436"/>
    <mergeCell ref="B3437:D3437"/>
    <mergeCell ref="B3438:D3438"/>
    <mergeCell ref="B3427:D3427"/>
    <mergeCell ref="B3428:D3428"/>
    <mergeCell ref="B3429:D3429"/>
    <mergeCell ref="B3430:D3430"/>
    <mergeCell ref="B3431:D3431"/>
    <mergeCell ref="B3432:D3432"/>
    <mergeCell ref="A3424:L3424"/>
    <mergeCell ref="C3425:D3425"/>
    <mergeCell ref="J3425:L3425"/>
    <mergeCell ref="B3426:D3426"/>
    <mergeCell ref="G3426:H3426"/>
    <mergeCell ref="K3426:L3426"/>
    <mergeCell ref="B3418:D3418"/>
    <mergeCell ref="G3418:H3418"/>
    <mergeCell ref="K3418:L3418"/>
    <mergeCell ref="B3419:D3419"/>
    <mergeCell ref="F3420:F3421"/>
    <mergeCell ref="G3420:J3420"/>
    <mergeCell ref="G3421:J3421"/>
    <mergeCell ref="B3411:D3411"/>
    <mergeCell ref="F3412:F3413"/>
    <mergeCell ref="G3412:J3412"/>
    <mergeCell ref="G3413:J3413"/>
    <mergeCell ref="A3416:L3416"/>
    <mergeCell ref="C3417:D3417"/>
    <mergeCell ref="J3417:L3417"/>
    <mergeCell ref="B3405:D3405"/>
    <mergeCell ref="A3407:L3407"/>
    <mergeCell ref="C3408:D3408"/>
    <mergeCell ref="J3408:L3408"/>
    <mergeCell ref="B3409:D3409"/>
    <mergeCell ref="G3409:H3409"/>
    <mergeCell ref="K3409:L3409"/>
    <mergeCell ref="B3401:D3401"/>
    <mergeCell ref="G3401:H3401"/>
    <mergeCell ref="K3401:L3401"/>
    <mergeCell ref="B3402:D3402"/>
    <mergeCell ref="F3403:F3404"/>
    <mergeCell ref="G3403:J3403"/>
    <mergeCell ref="G3404:J3404"/>
    <mergeCell ref="G3395:J3395"/>
    <mergeCell ref="G3396:J3396"/>
    <mergeCell ref="B3397:D3397"/>
    <mergeCell ref="A3399:L3399"/>
    <mergeCell ref="C3400:D3400"/>
    <mergeCell ref="J3400:L3400"/>
    <mergeCell ref="B3390:D3390"/>
    <mergeCell ref="B3391:D3391"/>
    <mergeCell ref="B3392:D3392"/>
    <mergeCell ref="B3393:D3393"/>
    <mergeCell ref="B3394:D3394"/>
    <mergeCell ref="F3395:F3396"/>
    <mergeCell ref="B3386:D3386"/>
    <mergeCell ref="A3387:L3387"/>
    <mergeCell ref="C3388:D3388"/>
    <mergeCell ref="J3388:L3388"/>
    <mergeCell ref="B3389:D3389"/>
    <mergeCell ref="G3389:H3389"/>
    <mergeCell ref="K3389:L3389"/>
    <mergeCell ref="B3384:D3384"/>
    <mergeCell ref="G3384:H3384"/>
    <mergeCell ref="I3384:J3384"/>
    <mergeCell ref="K3384:L3384"/>
    <mergeCell ref="B3385:D3385"/>
    <mergeCell ref="I3385:J3385"/>
    <mergeCell ref="B3377:D3377"/>
    <mergeCell ref="F3378:F3379"/>
    <mergeCell ref="G3378:J3378"/>
    <mergeCell ref="G3379:J3379"/>
    <mergeCell ref="A3382:L3382"/>
    <mergeCell ref="C3383:D3383"/>
    <mergeCell ref="J3383:L3383"/>
    <mergeCell ref="B3370:D3370"/>
    <mergeCell ref="B3372:D3372"/>
    <mergeCell ref="B3373:D3373"/>
    <mergeCell ref="B3374:D3374"/>
    <mergeCell ref="B3375:D3375"/>
    <mergeCell ref="B3376:D3376"/>
    <mergeCell ref="C3367:D3367"/>
    <mergeCell ref="J3367:L3367"/>
    <mergeCell ref="B3368:D3368"/>
    <mergeCell ref="G3368:H3368"/>
    <mergeCell ref="K3368:L3368"/>
    <mergeCell ref="B3369:D3369"/>
    <mergeCell ref="B3360:D3360"/>
    <mergeCell ref="B3361:D3361"/>
    <mergeCell ref="F3362:F3363"/>
    <mergeCell ref="G3362:J3362"/>
    <mergeCell ref="G3363:J3363"/>
    <mergeCell ref="A3366:L3366"/>
    <mergeCell ref="A3357:L3357"/>
    <mergeCell ref="C3358:D3358"/>
    <mergeCell ref="J3358:L3358"/>
    <mergeCell ref="B3359:D3359"/>
    <mergeCell ref="G3359:H3359"/>
    <mergeCell ref="K3359:L3359"/>
    <mergeCell ref="B3350:D3350"/>
    <mergeCell ref="G3350:H3350"/>
    <mergeCell ref="K3350:L3350"/>
    <mergeCell ref="B3351:D3351"/>
    <mergeCell ref="B3352:D3352"/>
    <mergeCell ref="F3353:F3354"/>
    <mergeCell ref="G3353:J3353"/>
    <mergeCell ref="G3354:J3354"/>
    <mergeCell ref="B3343:D3343"/>
    <mergeCell ref="F3344:F3345"/>
    <mergeCell ref="G3344:J3344"/>
    <mergeCell ref="G3345:J3345"/>
    <mergeCell ref="A3348:L3348"/>
    <mergeCell ref="C3349:D3349"/>
    <mergeCell ref="J3349:L3349"/>
    <mergeCell ref="A3340:L3340"/>
    <mergeCell ref="C3341:D3341"/>
    <mergeCell ref="J3341:L3341"/>
    <mergeCell ref="B3342:D3342"/>
    <mergeCell ref="G3342:H3342"/>
    <mergeCell ref="K3342:L3342"/>
    <mergeCell ref="B3334:D3334"/>
    <mergeCell ref="G3334:H3334"/>
    <mergeCell ref="K3334:L3334"/>
    <mergeCell ref="B3335:D3335"/>
    <mergeCell ref="F3336:F3337"/>
    <mergeCell ref="G3336:J3336"/>
    <mergeCell ref="G3337:J3337"/>
    <mergeCell ref="B3326:D3326"/>
    <mergeCell ref="F3328:F3329"/>
    <mergeCell ref="G3328:J3328"/>
    <mergeCell ref="G3329:J3329"/>
    <mergeCell ref="A3332:L3332"/>
    <mergeCell ref="C3333:D3333"/>
    <mergeCell ref="J3333:L3333"/>
    <mergeCell ref="C3322:D3322"/>
    <mergeCell ref="J3322:L3322"/>
    <mergeCell ref="B3323:D3323"/>
    <mergeCell ref="G3323:H3323"/>
    <mergeCell ref="K3323:L3323"/>
    <mergeCell ref="B3325:D3325"/>
    <mergeCell ref="B3315:D3315"/>
    <mergeCell ref="B3316:D3316"/>
    <mergeCell ref="F3317:F3318"/>
    <mergeCell ref="G3317:J3317"/>
    <mergeCell ref="G3318:J3318"/>
    <mergeCell ref="A3321:L3321"/>
    <mergeCell ref="B3309:D3309"/>
    <mergeCell ref="B3310:D3310"/>
    <mergeCell ref="B3311:D3311"/>
    <mergeCell ref="B3312:D3312"/>
    <mergeCell ref="B3313:D3313"/>
    <mergeCell ref="B3314:D3314"/>
    <mergeCell ref="B3305:D3305"/>
    <mergeCell ref="A3306:L3306"/>
    <mergeCell ref="C3307:D3307"/>
    <mergeCell ref="J3307:L3307"/>
    <mergeCell ref="B3308:D3308"/>
    <mergeCell ref="G3308:H3308"/>
    <mergeCell ref="K3308:L3308"/>
    <mergeCell ref="B3302:D3302"/>
    <mergeCell ref="I3302:J3302"/>
    <mergeCell ref="B3303:D3303"/>
    <mergeCell ref="I3303:J3303"/>
    <mergeCell ref="B3304:D3304"/>
    <mergeCell ref="I3304:J3304"/>
    <mergeCell ref="B3300:D3300"/>
    <mergeCell ref="G3300:H3300"/>
    <mergeCell ref="I3300:J3300"/>
    <mergeCell ref="K3300:L3300"/>
    <mergeCell ref="B3301:D3301"/>
    <mergeCell ref="I3301:J3301"/>
    <mergeCell ref="F3294:F3295"/>
    <mergeCell ref="G3294:J3294"/>
    <mergeCell ref="G3295:J3295"/>
    <mergeCell ref="A3298:L3298"/>
    <mergeCell ref="C3299:D3299"/>
    <mergeCell ref="J3299:L3299"/>
    <mergeCell ref="B3289:D3289"/>
    <mergeCell ref="B3290:D3290"/>
    <mergeCell ref="B3291:D3291"/>
    <mergeCell ref="B3292:D3292"/>
    <mergeCell ref="B3293:D3293"/>
    <mergeCell ref="C3286:D3286"/>
    <mergeCell ref="J3286:L3286"/>
    <mergeCell ref="B3287:D3287"/>
    <mergeCell ref="G3287:H3287"/>
    <mergeCell ref="K3287:L3287"/>
    <mergeCell ref="B3288:D3288"/>
    <mergeCell ref="B3279:D3279"/>
    <mergeCell ref="F3281:F3282"/>
    <mergeCell ref="G3281:J3281"/>
    <mergeCell ref="G3282:J3282"/>
    <mergeCell ref="A3285:L3285"/>
    <mergeCell ref="C3276:D3276"/>
    <mergeCell ref="J3276:L3276"/>
    <mergeCell ref="B3277:D3277"/>
    <mergeCell ref="G3277:H3277"/>
    <mergeCell ref="K3277:L3277"/>
    <mergeCell ref="B3278:D3278"/>
    <mergeCell ref="B3272:D3272"/>
    <mergeCell ref="I3272:J3272"/>
    <mergeCell ref="B3273:D3273"/>
    <mergeCell ref="I3273:J3273"/>
    <mergeCell ref="B3274:D3274"/>
    <mergeCell ref="A3275:L3275"/>
    <mergeCell ref="A3269:L3269"/>
    <mergeCell ref="C3270:D3270"/>
    <mergeCell ref="J3270:L3270"/>
    <mergeCell ref="B3271:D3271"/>
    <mergeCell ref="G3271:H3271"/>
    <mergeCell ref="I3271:J3271"/>
    <mergeCell ref="K3271:L3271"/>
    <mergeCell ref="B3262:D3262"/>
    <mergeCell ref="B3263:D3263"/>
    <mergeCell ref="B3264:D3264"/>
    <mergeCell ref="F3265:F3266"/>
    <mergeCell ref="G3265:J3265"/>
    <mergeCell ref="G3266:J3266"/>
    <mergeCell ref="A3259:L3259"/>
    <mergeCell ref="C3260:D3260"/>
    <mergeCell ref="J3260:L3260"/>
    <mergeCell ref="B3261:D3261"/>
    <mergeCell ref="G3261:H3261"/>
    <mergeCell ref="K3261:L3261"/>
    <mergeCell ref="B3253:D3253"/>
    <mergeCell ref="G3253:H3253"/>
    <mergeCell ref="K3253:L3253"/>
    <mergeCell ref="B3254:D3254"/>
    <mergeCell ref="F3255:F3256"/>
    <mergeCell ref="G3255:J3255"/>
    <mergeCell ref="G3256:J3256"/>
    <mergeCell ref="B3246:D3246"/>
    <mergeCell ref="F3247:F3248"/>
    <mergeCell ref="G3247:J3247"/>
    <mergeCell ref="G3248:J3248"/>
    <mergeCell ref="A3251:L3251"/>
    <mergeCell ref="C3252:D3252"/>
    <mergeCell ref="J3252:L3252"/>
    <mergeCell ref="B3241:D3241"/>
    <mergeCell ref="A3243:L3243"/>
    <mergeCell ref="C3244:D3244"/>
    <mergeCell ref="J3244:L3244"/>
    <mergeCell ref="B3245:D3245"/>
    <mergeCell ref="G3245:H3245"/>
    <mergeCell ref="K3245:L3245"/>
    <mergeCell ref="B3237:D3237"/>
    <mergeCell ref="G3237:H3237"/>
    <mergeCell ref="K3237:L3237"/>
    <mergeCell ref="B3238:D3238"/>
    <mergeCell ref="F3239:F3240"/>
    <mergeCell ref="G3239:J3239"/>
    <mergeCell ref="G3240:J3240"/>
    <mergeCell ref="F3231:F3232"/>
    <mergeCell ref="G3231:J3231"/>
    <mergeCell ref="G3232:J3232"/>
    <mergeCell ref="A3235:L3235"/>
    <mergeCell ref="C3236:D3236"/>
    <mergeCell ref="J3236:L3236"/>
    <mergeCell ref="B3227:D3227"/>
    <mergeCell ref="G3227:H3227"/>
    <mergeCell ref="K3227:L3227"/>
    <mergeCell ref="B3228:D3228"/>
    <mergeCell ref="B3229:D3229"/>
    <mergeCell ref="B3230:D3230"/>
    <mergeCell ref="B3222:D3222"/>
    <mergeCell ref="I3222:J3222"/>
    <mergeCell ref="B3224:D3224"/>
    <mergeCell ref="A3225:L3225"/>
    <mergeCell ref="C3226:D3226"/>
    <mergeCell ref="J3226:L3226"/>
    <mergeCell ref="B3220:D3220"/>
    <mergeCell ref="G3220:H3220"/>
    <mergeCell ref="I3220:J3220"/>
    <mergeCell ref="K3220:L3220"/>
    <mergeCell ref="B3221:D3221"/>
    <mergeCell ref="I3221:J3221"/>
    <mergeCell ref="F3214:F3215"/>
    <mergeCell ref="G3214:J3214"/>
    <mergeCell ref="G3215:J3215"/>
    <mergeCell ref="A3218:L3218"/>
    <mergeCell ref="C3219:D3219"/>
    <mergeCell ref="J3219:L3219"/>
    <mergeCell ref="B3210:D3210"/>
    <mergeCell ref="G3210:H3210"/>
    <mergeCell ref="K3210:L3210"/>
    <mergeCell ref="B3211:D3211"/>
    <mergeCell ref="B3212:D3212"/>
    <mergeCell ref="B3213:D3213"/>
    <mergeCell ref="F3204:F3205"/>
    <mergeCell ref="G3204:J3204"/>
    <mergeCell ref="G3205:J3205"/>
    <mergeCell ref="A3208:L3208"/>
    <mergeCell ref="C3209:D3209"/>
    <mergeCell ref="J3209:L3209"/>
    <mergeCell ref="B3199:D3199"/>
    <mergeCell ref="G3199:H3199"/>
    <mergeCell ref="K3199:L3199"/>
    <mergeCell ref="B3200:D3200"/>
    <mergeCell ref="B3202:D3202"/>
    <mergeCell ref="B3203:D3203"/>
    <mergeCell ref="F3193:F3194"/>
    <mergeCell ref="G3193:J3193"/>
    <mergeCell ref="G3194:J3194"/>
    <mergeCell ref="A3197:L3197"/>
    <mergeCell ref="C3198:D3198"/>
    <mergeCell ref="J3198:L3198"/>
    <mergeCell ref="B3189:D3189"/>
    <mergeCell ref="G3189:H3189"/>
    <mergeCell ref="K3189:L3189"/>
    <mergeCell ref="B3190:D3190"/>
    <mergeCell ref="B3191:D3191"/>
    <mergeCell ref="B3192:D3192"/>
    <mergeCell ref="B3201:D3201"/>
    <mergeCell ref="B3185:D3185"/>
    <mergeCell ref="I3185:J3185"/>
    <mergeCell ref="B3186:D3186"/>
    <mergeCell ref="A3187:L3187"/>
    <mergeCell ref="C3188:D3188"/>
    <mergeCell ref="J3188:L3188"/>
    <mergeCell ref="A3182:L3182"/>
    <mergeCell ref="C3183:D3183"/>
    <mergeCell ref="J3183:L3183"/>
    <mergeCell ref="B3184:D3184"/>
    <mergeCell ref="G3184:H3184"/>
    <mergeCell ref="I3184:J3184"/>
    <mergeCell ref="K3184:L3184"/>
    <mergeCell ref="B3175:D3175"/>
    <mergeCell ref="B3176:D3176"/>
    <mergeCell ref="B3177:D3177"/>
    <mergeCell ref="F3178:F3179"/>
    <mergeCell ref="G3178:J3178"/>
    <mergeCell ref="G3179:J3179"/>
    <mergeCell ref="A3172:L3172"/>
    <mergeCell ref="C3173:D3173"/>
    <mergeCell ref="J3173:L3173"/>
    <mergeCell ref="B3174:D3174"/>
    <mergeCell ref="G3174:H3174"/>
    <mergeCell ref="K3174:L3174"/>
    <mergeCell ref="A3169:C3169"/>
    <mergeCell ref="D3169:L3169"/>
    <mergeCell ref="A3170:C3170"/>
    <mergeCell ref="D3170:L3170"/>
    <mergeCell ref="A3171:C3171"/>
    <mergeCell ref="D3171:L3171"/>
    <mergeCell ref="A3166:C3166"/>
    <mergeCell ref="D3166:L3166"/>
    <mergeCell ref="A3167:C3167"/>
    <mergeCell ref="D3167:L3167"/>
    <mergeCell ref="A3168:C3168"/>
    <mergeCell ref="D3168:L3168"/>
    <mergeCell ref="A3163:C3163"/>
    <mergeCell ref="D3163:L3163"/>
    <mergeCell ref="A3164:C3164"/>
    <mergeCell ref="D3164:L3164"/>
    <mergeCell ref="A3165:C3165"/>
    <mergeCell ref="D3165:L3165"/>
    <mergeCell ref="B3156:D3156"/>
    <mergeCell ref="B3157:D3157"/>
    <mergeCell ref="F3158:F3159"/>
    <mergeCell ref="G3158:J3158"/>
    <mergeCell ref="G3159:J3159"/>
    <mergeCell ref="A3162:L3162"/>
    <mergeCell ref="C3153:D3153"/>
    <mergeCell ref="J3153:L3153"/>
    <mergeCell ref="B3154:D3154"/>
    <mergeCell ref="G3154:H3154"/>
    <mergeCell ref="K3154:L3154"/>
    <mergeCell ref="B3155:D3155"/>
    <mergeCell ref="B3145:D3145"/>
    <mergeCell ref="B3146:D3146"/>
    <mergeCell ref="F3148:F3149"/>
    <mergeCell ref="G3148:J3148"/>
    <mergeCell ref="G3149:J3149"/>
    <mergeCell ref="A3152:L3152"/>
    <mergeCell ref="A3142:L3142"/>
    <mergeCell ref="C3143:D3143"/>
    <mergeCell ref="J3143:L3143"/>
    <mergeCell ref="B3144:D3144"/>
    <mergeCell ref="G3144:H3144"/>
    <mergeCell ref="K3144:L3144"/>
    <mergeCell ref="B3135:D3135"/>
    <mergeCell ref="B3136:D3136"/>
    <mergeCell ref="F3138:F3139"/>
    <mergeCell ref="G3138:J3138"/>
    <mergeCell ref="G3139:J3139"/>
    <mergeCell ref="A3132:L3132"/>
    <mergeCell ref="C3133:D3133"/>
    <mergeCell ref="J3133:L3133"/>
    <mergeCell ref="B3134:D3134"/>
    <mergeCell ref="G3134:H3134"/>
    <mergeCell ref="K3134:L3134"/>
    <mergeCell ref="B3124:D3124"/>
    <mergeCell ref="G3124:H3124"/>
    <mergeCell ref="K3124:L3124"/>
    <mergeCell ref="B3125:D3125"/>
    <mergeCell ref="B3126:D3126"/>
    <mergeCell ref="F3128:F3129"/>
    <mergeCell ref="G3128:J3128"/>
    <mergeCell ref="G3129:J3129"/>
    <mergeCell ref="B3116:D3116"/>
    <mergeCell ref="F3118:F3119"/>
    <mergeCell ref="G3118:J3118"/>
    <mergeCell ref="G3119:J3119"/>
    <mergeCell ref="A3122:L3122"/>
    <mergeCell ref="C3123:D3123"/>
    <mergeCell ref="J3123:L3123"/>
    <mergeCell ref="C3113:D3113"/>
    <mergeCell ref="J3113:L3113"/>
    <mergeCell ref="B3114:D3114"/>
    <mergeCell ref="G3114:H3114"/>
    <mergeCell ref="K3114:L3114"/>
    <mergeCell ref="B3115:D3115"/>
    <mergeCell ref="B3106:D3106"/>
    <mergeCell ref="F3108:F3109"/>
    <mergeCell ref="G3108:J3108"/>
    <mergeCell ref="G3109:J3109"/>
    <mergeCell ref="A3112:L3112"/>
    <mergeCell ref="C3103:D3103"/>
    <mergeCell ref="J3103:L3103"/>
    <mergeCell ref="B3104:D3104"/>
    <mergeCell ref="G3104:H3104"/>
    <mergeCell ref="K3104:L3104"/>
    <mergeCell ref="B3105:D3105"/>
    <mergeCell ref="B3095:D3095"/>
    <mergeCell ref="B3096:D3096"/>
    <mergeCell ref="F3098:F3099"/>
    <mergeCell ref="G3098:J3098"/>
    <mergeCell ref="G3099:J3099"/>
    <mergeCell ref="A3102:L3102"/>
    <mergeCell ref="B3091:D3091"/>
    <mergeCell ref="A3092:L3092"/>
    <mergeCell ref="C3093:D3093"/>
    <mergeCell ref="J3093:L3093"/>
    <mergeCell ref="B3094:D3094"/>
    <mergeCell ref="G3094:H3094"/>
    <mergeCell ref="K3094:L3094"/>
    <mergeCell ref="B3088:D3088"/>
    <mergeCell ref="G3088:H3088"/>
    <mergeCell ref="I3088:J3088"/>
    <mergeCell ref="K3088:L3088"/>
    <mergeCell ref="B3089:D3089"/>
    <mergeCell ref="I3089:J3089"/>
    <mergeCell ref="B3090:D3090"/>
    <mergeCell ref="I3090:J3090"/>
    <mergeCell ref="B3084:D3084"/>
    <mergeCell ref="I3084:J3084"/>
    <mergeCell ref="B3085:D3085"/>
    <mergeCell ref="A3086:L3086"/>
    <mergeCell ref="C3087:D3087"/>
    <mergeCell ref="J3087:L3087"/>
    <mergeCell ref="A3081:L3081"/>
    <mergeCell ref="C3082:D3082"/>
    <mergeCell ref="J3082:L3082"/>
    <mergeCell ref="B3083:D3083"/>
    <mergeCell ref="G3083:H3083"/>
    <mergeCell ref="I3083:J3083"/>
    <mergeCell ref="K3083:L3083"/>
    <mergeCell ref="B3073:D3073"/>
    <mergeCell ref="B3074:D3074"/>
    <mergeCell ref="B3075:D3075"/>
    <mergeCell ref="B3076:D3076"/>
    <mergeCell ref="F3077:F3078"/>
    <mergeCell ref="G3077:J3077"/>
    <mergeCell ref="G3078:J3078"/>
    <mergeCell ref="B3069:D3069"/>
    <mergeCell ref="G3069:H3069"/>
    <mergeCell ref="K3069:L3069"/>
    <mergeCell ref="B3070:D3070"/>
    <mergeCell ref="B3071:D3071"/>
    <mergeCell ref="B3072:D3072"/>
    <mergeCell ref="B3061:D3061"/>
    <mergeCell ref="F3063:F3064"/>
    <mergeCell ref="G3063:J3063"/>
    <mergeCell ref="G3064:J3064"/>
    <mergeCell ref="A3067:L3067"/>
    <mergeCell ref="C3068:D3068"/>
    <mergeCell ref="J3068:L3068"/>
    <mergeCell ref="C3058:D3058"/>
    <mergeCell ref="J3058:L3058"/>
    <mergeCell ref="B3059:D3059"/>
    <mergeCell ref="G3059:H3059"/>
    <mergeCell ref="K3059:L3059"/>
    <mergeCell ref="B3060:D3060"/>
    <mergeCell ref="B3050:D3050"/>
    <mergeCell ref="B3051:D3051"/>
    <mergeCell ref="F3053:F3054"/>
    <mergeCell ref="G3053:J3053"/>
    <mergeCell ref="G3054:J3054"/>
    <mergeCell ref="A3057:L3057"/>
    <mergeCell ref="A3047:L3047"/>
    <mergeCell ref="C3048:D3048"/>
    <mergeCell ref="J3048:L3048"/>
    <mergeCell ref="B3049:D3049"/>
    <mergeCell ref="G3049:H3049"/>
    <mergeCell ref="K3049:L3049"/>
    <mergeCell ref="B3039:D3039"/>
    <mergeCell ref="B3040:D3040"/>
    <mergeCell ref="B3041:D3041"/>
    <mergeCell ref="F3043:F3044"/>
    <mergeCell ref="G3043:J3043"/>
    <mergeCell ref="G3044:J3044"/>
    <mergeCell ref="A3036:L3036"/>
    <mergeCell ref="C3037:D3037"/>
    <mergeCell ref="J3037:L3037"/>
    <mergeCell ref="B3038:D3038"/>
    <mergeCell ref="G3038:H3038"/>
    <mergeCell ref="K3038:L3038"/>
    <mergeCell ref="B3033:D3033"/>
    <mergeCell ref="I3033:J3033"/>
    <mergeCell ref="K3033:L3033"/>
    <mergeCell ref="B3034:D3034"/>
    <mergeCell ref="I3034:J3034"/>
    <mergeCell ref="B3035:D3035"/>
    <mergeCell ref="E3035:H3035"/>
    <mergeCell ref="B3025:D3025"/>
    <mergeCell ref="F3027:F3028"/>
    <mergeCell ref="G3027:J3027"/>
    <mergeCell ref="G3028:J3028"/>
    <mergeCell ref="A3031:L3031"/>
    <mergeCell ref="C3032:D3032"/>
    <mergeCell ref="J3032:L3032"/>
    <mergeCell ref="C3022:D3022"/>
    <mergeCell ref="J3022:L3022"/>
    <mergeCell ref="B3023:D3023"/>
    <mergeCell ref="G3023:H3023"/>
    <mergeCell ref="K3023:L3023"/>
    <mergeCell ref="B3024:D3024"/>
    <mergeCell ref="B3016:D3016"/>
    <mergeCell ref="F3017:F3018"/>
    <mergeCell ref="G3017:J3017"/>
    <mergeCell ref="G3018:J3018"/>
    <mergeCell ref="A3021:L3021"/>
    <mergeCell ref="A3013:L3013"/>
    <mergeCell ref="C3014:D3014"/>
    <mergeCell ref="J3014:L3014"/>
    <mergeCell ref="B3015:D3015"/>
    <mergeCell ref="G3015:H3015"/>
    <mergeCell ref="K3015:L3015"/>
    <mergeCell ref="B3006:D3006"/>
    <mergeCell ref="B3007:D3007"/>
    <mergeCell ref="B3008:D3008"/>
    <mergeCell ref="F3009:F3010"/>
    <mergeCell ref="G3009:J3009"/>
    <mergeCell ref="G3010:J3010"/>
    <mergeCell ref="B3002:D3002"/>
    <mergeCell ref="A3003:L3003"/>
    <mergeCell ref="C3004:D3004"/>
    <mergeCell ref="J3004:L3004"/>
    <mergeCell ref="B3005:D3005"/>
    <mergeCell ref="G3005:H3005"/>
    <mergeCell ref="K3005:L3005"/>
    <mergeCell ref="B3000:D3000"/>
    <mergeCell ref="G3000:H3000"/>
    <mergeCell ref="I3000:J3000"/>
    <mergeCell ref="K3000:L3000"/>
    <mergeCell ref="B3001:D3001"/>
    <mergeCell ref="I3001:J3001"/>
    <mergeCell ref="A2996:C2996"/>
    <mergeCell ref="D2996:L2996"/>
    <mergeCell ref="A2997:C2997"/>
    <mergeCell ref="D2997:L2997"/>
    <mergeCell ref="A2998:L2998"/>
    <mergeCell ref="C2999:D2999"/>
    <mergeCell ref="J2999:L2999"/>
    <mergeCell ref="A2993:C2993"/>
    <mergeCell ref="D2993:L2993"/>
    <mergeCell ref="A2994:C2994"/>
    <mergeCell ref="D2994:L2994"/>
    <mergeCell ref="A2995:C2995"/>
    <mergeCell ref="D2995:L2995"/>
    <mergeCell ref="A2990:C2990"/>
    <mergeCell ref="D2990:L2990"/>
    <mergeCell ref="A2991:C2991"/>
    <mergeCell ref="D2991:L2991"/>
    <mergeCell ref="A2992:C2992"/>
    <mergeCell ref="D2992:L2992"/>
    <mergeCell ref="F2984:F2985"/>
    <mergeCell ref="G2984:J2984"/>
    <mergeCell ref="G2985:J2985"/>
    <mergeCell ref="A2988:L2988"/>
    <mergeCell ref="A2989:C2989"/>
    <mergeCell ref="D2989:L2989"/>
    <mergeCell ref="B2980:D2980"/>
    <mergeCell ref="G2980:H2980"/>
    <mergeCell ref="K2980:L2980"/>
    <mergeCell ref="B2981:D2981"/>
    <mergeCell ref="B2982:D2982"/>
    <mergeCell ref="B2983:D2983"/>
    <mergeCell ref="B2976:D2976"/>
    <mergeCell ref="I2976:J2976"/>
    <mergeCell ref="B2977:D2977"/>
    <mergeCell ref="A2978:L2978"/>
    <mergeCell ref="C2979:D2979"/>
    <mergeCell ref="J2979:L2979"/>
    <mergeCell ref="C2974:D2974"/>
    <mergeCell ref="J2974:L2974"/>
    <mergeCell ref="B2975:D2975"/>
    <mergeCell ref="G2975:H2975"/>
    <mergeCell ref="I2975:J2975"/>
    <mergeCell ref="K2975:L2975"/>
    <mergeCell ref="B2971:D2971"/>
    <mergeCell ref="I2971:J2971"/>
    <mergeCell ref="B2972:D2972"/>
    <mergeCell ref="A2973:L2973"/>
    <mergeCell ref="B2967:D2967"/>
    <mergeCell ref="E2967:H2967"/>
    <mergeCell ref="A2968:L2968"/>
    <mergeCell ref="C2969:D2969"/>
    <mergeCell ref="J2969:L2969"/>
    <mergeCell ref="B2970:D2970"/>
    <mergeCell ref="G2970:H2970"/>
    <mergeCell ref="I2970:J2970"/>
    <mergeCell ref="K2970:L2970"/>
    <mergeCell ref="B2964:D2964"/>
    <mergeCell ref="G2964:H2964"/>
    <mergeCell ref="I2964:J2964"/>
    <mergeCell ref="K2964:L2964"/>
    <mergeCell ref="B2965:D2965"/>
    <mergeCell ref="G2965:H2965"/>
    <mergeCell ref="I2965:J2965"/>
    <mergeCell ref="A2960:C2960"/>
    <mergeCell ref="D2960:L2960"/>
    <mergeCell ref="A2961:C2961"/>
    <mergeCell ref="D2961:L2961"/>
    <mergeCell ref="A2962:L2962"/>
    <mergeCell ref="C2963:D2963"/>
    <mergeCell ref="J2963:L2963"/>
    <mergeCell ref="A2957:C2957"/>
    <mergeCell ref="D2957:L2957"/>
    <mergeCell ref="A2958:C2958"/>
    <mergeCell ref="D2958:L2958"/>
    <mergeCell ref="A2959:C2959"/>
    <mergeCell ref="D2959:L2959"/>
    <mergeCell ref="A2954:C2954"/>
    <mergeCell ref="D2954:L2954"/>
    <mergeCell ref="A2955:C2955"/>
    <mergeCell ref="D2955:L2955"/>
    <mergeCell ref="A2956:C2956"/>
    <mergeCell ref="D2956:L2956"/>
    <mergeCell ref="B2947:D2947"/>
    <mergeCell ref="F2948:F2949"/>
    <mergeCell ref="G2948:J2948"/>
    <mergeCell ref="G2949:J2949"/>
    <mergeCell ref="A2952:L2952"/>
    <mergeCell ref="A2953:C2953"/>
    <mergeCell ref="D2953:L2953"/>
    <mergeCell ref="B2943:D2943"/>
    <mergeCell ref="G2943:H2943"/>
    <mergeCell ref="K2943:L2943"/>
    <mergeCell ref="B2944:D2944"/>
    <mergeCell ref="B2945:D2945"/>
    <mergeCell ref="B2946:D2946"/>
    <mergeCell ref="A2931:C2931"/>
    <mergeCell ref="D2931:L2931"/>
    <mergeCell ref="A2932:C2932"/>
    <mergeCell ref="D2932:L2932"/>
    <mergeCell ref="A2933:L2933"/>
    <mergeCell ref="C2942:D2942"/>
    <mergeCell ref="J2942:L2942"/>
    <mergeCell ref="A2928:C2928"/>
    <mergeCell ref="D2928:L2928"/>
    <mergeCell ref="A2929:C2929"/>
    <mergeCell ref="D2929:L2929"/>
    <mergeCell ref="A2930:C2930"/>
    <mergeCell ref="D2930:L2930"/>
    <mergeCell ref="A2925:C2925"/>
    <mergeCell ref="D2925:L2925"/>
    <mergeCell ref="A2926:C2926"/>
    <mergeCell ref="D2926:L2926"/>
    <mergeCell ref="A2927:C2927"/>
    <mergeCell ref="D2927:L2927"/>
    <mergeCell ref="B2918:D2918"/>
    <mergeCell ref="F2919:F2920"/>
    <mergeCell ref="G2919:J2919"/>
    <mergeCell ref="G2920:J2920"/>
    <mergeCell ref="A2923:L2923"/>
    <mergeCell ref="A2924:C2924"/>
    <mergeCell ref="D2924:L2924"/>
    <mergeCell ref="B2912:D2912"/>
    <mergeCell ref="B2913:D2913"/>
    <mergeCell ref="B2914:D2914"/>
    <mergeCell ref="B2915:D2915"/>
    <mergeCell ref="B2916:D2916"/>
    <mergeCell ref="B2917:D2917"/>
    <mergeCell ref="B2908:D2908"/>
    <mergeCell ref="G2908:H2908"/>
    <mergeCell ref="K2908:L2908"/>
    <mergeCell ref="B2909:D2909"/>
    <mergeCell ref="B2910:D2910"/>
    <mergeCell ref="B2911:D2911"/>
    <mergeCell ref="B2901:D2901"/>
    <mergeCell ref="F2902:F2903"/>
    <mergeCell ref="G2902:J2902"/>
    <mergeCell ref="G2903:J2903"/>
    <mergeCell ref="A2906:L2906"/>
    <mergeCell ref="C2907:D2907"/>
    <mergeCell ref="J2907:L2907"/>
    <mergeCell ref="A2898:L2898"/>
    <mergeCell ref="C2899:D2899"/>
    <mergeCell ref="J2899:L2899"/>
    <mergeCell ref="B2900:D2900"/>
    <mergeCell ref="G2900:H2900"/>
    <mergeCell ref="K2900:L2900"/>
    <mergeCell ref="B2891:D2891"/>
    <mergeCell ref="B2892:D2892"/>
    <mergeCell ref="B2893:D2893"/>
    <mergeCell ref="F2894:F2895"/>
    <mergeCell ref="G2894:J2894"/>
    <mergeCell ref="G2895:J2895"/>
    <mergeCell ref="A2887:C2887"/>
    <mergeCell ref="D2887:L2887"/>
    <mergeCell ref="A2888:L2888"/>
    <mergeCell ref="C2889:D2889"/>
    <mergeCell ref="J2889:L2889"/>
    <mergeCell ref="B2890:D2890"/>
    <mergeCell ref="G2890:H2890"/>
    <mergeCell ref="K2890:L2890"/>
    <mergeCell ref="A2884:C2884"/>
    <mergeCell ref="D2884:L2884"/>
    <mergeCell ref="A2885:C2885"/>
    <mergeCell ref="D2885:L2885"/>
    <mergeCell ref="A2886:C2886"/>
    <mergeCell ref="D2886:L2886"/>
    <mergeCell ref="A2881:C2881"/>
    <mergeCell ref="D2881:L2881"/>
    <mergeCell ref="A2882:C2882"/>
    <mergeCell ref="D2882:L2882"/>
    <mergeCell ref="A2883:C2883"/>
    <mergeCell ref="D2883:L2883"/>
    <mergeCell ref="G2877:I2877"/>
    <mergeCell ref="A2878:L2878"/>
    <mergeCell ref="A2879:C2879"/>
    <mergeCell ref="D2879:L2879"/>
    <mergeCell ref="A2880:C2880"/>
    <mergeCell ref="D2880:L2880"/>
    <mergeCell ref="B2871:D2871"/>
    <mergeCell ref="B2872:D2872"/>
    <mergeCell ref="B2873:D2873"/>
    <mergeCell ref="F2874:F2875"/>
    <mergeCell ref="G2874:J2874"/>
    <mergeCell ref="G2875:J2875"/>
    <mergeCell ref="B2865:D2865"/>
    <mergeCell ref="B2866:D2866"/>
    <mergeCell ref="B2867:D2867"/>
    <mergeCell ref="B2868:D2868"/>
    <mergeCell ref="B2869:D2869"/>
    <mergeCell ref="B2870:D2870"/>
    <mergeCell ref="A2862:L2862"/>
    <mergeCell ref="C2863:D2863"/>
    <mergeCell ref="J2863:L2863"/>
    <mergeCell ref="B2864:D2864"/>
    <mergeCell ref="G2864:H2864"/>
    <mergeCell ref="K2864:L2864"/>
    <mergeCell ref="B2855:D2855"/>
    <mergeCell ref="B2856:D2856"/>
    <mergeCell ref="B2857:D2857"/>
    <mergeCell ref="F2858:F2859"/>
    <mergeCell ref="G2858:J2858"/>
    <mergeCell ref="G2859:J2859"/>
    <mergeCell ref="A2852:L2852"/>
    <mergeCell ref="C2853:D2853"/>
    <mergeCell ref="J2853:L2853"/>
    <mergeCell ref="B2854:D2854"/>
    <mergeCell ref="G2854:H2854"/>
    <mergeCell ref="K2854:L2854"/>
    <mergeCell ref="B2845:D2845"/>
    <mergeCell ref="B2846:D2846"/>
    <mergeCell ref="B2847:D2847"/>
    <mergeCell ref="F2848:F2849"/>
    <mergeCell ref="G2848:J2848"/>
    <mergeCell ref="G2849:J2849"/>
    <mergeCell ref="A2842:L2842"/>
    <mergeCell ref="C2843:D2843"/>
    <mergeCell ref="J2843:L2843"/>
    <mergeCell ref="B2844:D2844"/>
    <mergeCell ref="G2844:H2844"/>
    <mergeCell ref="K2844:L2844"/>
    <mergeCell ref="B2833:D2833"/>
    <mergeCell ref="B2835:D2835"/>
    <mergeCell ref="B2836:D2836"/>
    <mergeCell ref="B2837:D2837"/>
    <mergeCell ref="F2838:F2839"/>
    <mergeCell ref="G2838:J2838"/>
    <mergeCell ref="G2839:J2839"/>
    <mergeCell ref="A2830:L2830"/>
    <mergeCell ref="C2831:D2831"/>
    <mergeCell ref="J2831:L2831"/>
    <mergeCell ref="B2832:D2832"/>
    <mergeCell ref="G2832:H2832"/>
    <mergeCell ref="K2832:L2832"/>
    <mergeCell ref="B2823:D2823"/>
    <mergeCell ref="B2824:D2824"/>
    <mergeCell ref="B2825:D2825"/>
    <mergeCell ref="F2826:F2827"/>
    <mergeCell ref="G2826:J2826"/>
    <mergeCell ref="G2827:J2827"/>
    <mergeCell ref="A2820:L2820"/>
    <mergeCell ref="C2821:D2821"/>
    <mergeCell ref="J2821:L2821"/>
    <mergeCell ref="B2822:D2822"/>
    <mergeCell ref="G2822:H2822"/>
    <mergeCell ref="K2822:L2822"/>
    <mergeCell ref="B2813:D2813"/>
    <mergeCell ref="B2814:D2814"/>
    <mergeCell ref="B2815:D2815"/>
    <mergeCell ref="F2816:F2817"/>
    <mergeCell ref="G2816:J2816"/>
    <mergeCell ref="G2817:J2817"/>
    <mergeCell ref="A2810:L2810"/>
    <mergeCell ref="C2811:D2811"/>
    <mergeCell ref="J2811:L2811"/>
    <mergeCell ref="B2812:D2812"/>
    <mergeCell ref="G2812:H2812"/>
    <mergeCell ref="K2812:L2812"/>
    <mergeCell ref="A2807:C2807"/>
    <mergeCell ref="D2807:L2807"/>
    <mergeCell ref="A2808:C2808"/>
    <mergeCell ref="D2808:L2808"/>
    <mergeCell ref="A2809:C2809"/>
    <mergeCell ref="D2809:L2809"/>
    <mergeCell ref="A2804:C2804"/>
    <mergeCell ref="D2804:L2804"/>
    <mergeCell ref="A2805:C2805"/>
    <mergeCell ref="D2805:L2805"/>
    <mergeCell ref="A2806:C2806"/>
    <mergeCell ref="D2806:L2806"/>
    <mergeCell ref="A2801:C2801"/>
    <mergeCell ref="D2801:L2801"/>
    <mergeCell ref="A2802:C2802"/>
    <mergeCell ref="D2802:L2802"/>
    <mergeCell ref="A2803:C2803"/>
    <mergeCell ref="D2803:L2803"/>
    <mergeCell ref="B2793:D2793"/>
    <mergeCell ref="B2794:D2794"/>
    <mergeCell ref="F2796:F2797"/>
    <mergeCell ref="G2796:J2796"/>
    <mergeCell ref="G2797:J2797"/>
    <mergeCell ref="A2800:L2800"/>
    <mergeCell ref="B2787:D2787"/>
    <mergeCell ref="B2788:D2788"/>
    <mergeCell ref="B2789:D2789"/>
    <mergeCell ref="B2790:D2790"/>
    <mergeCell ref="B2791:D2791"/>
    <mergeCell ref="B2792:D2792"/>
    <mergeCell ref="G2782:H2782"/>
    <mergeCell ref="K2782:L2782"/>
    <mergeCell ref="B2783:D2783"/>
    <mergeCell ref="B2784:D2784"/>
    <mergeCell ref="B2785:D2785"/>
    <mergeCell ref="B2786:D2786"/>
    <mergeCell ref="A2778:C2778"/>
    <mergeCell ref="D2778:L2778"/>
    <mergeCell ref="A2779:C2779"/>
    <mergeCell ref="D2779:L2779"/>
    <mergeCell ref="A2780:L2780"/>
    <mergeCell ref="C2781:D2781"/>
    <mergeCell ref="J2781:L2781"/>
    <mergeCell ref="A2775:C2775"/>
    <mergeCell ref="D2775:L2775"/>
    <mergeCell ref="A2776:C2776"/>
    <mergeCell ref="D2776:L2776"/>
    <mergeCell ref="A2777:C2777"/>
    <mergeCell ref="D2777:L2777"/>
    <mergeCell ref="A2772:C2772"/>
    <mergeCell ref="D2772:L2772"/>
    <mergeCell ref="A2773:C2773"/>
    <mergeCell ref="D2773:L2773"/>
    <mergeCell ref="A2774:C2774"/>
    <mergeCell ref="D2774:L2774"/>
    <mergeCell ref="F2766:F2767"/>
    <mergeCell ref="G2766:J2766"/>
    <mergeCell ref="G2767:J2767"/>
    <mergeCell ref="A2768:H2768"/>
    <mergeCell ref="A2770:L2770"/>
    <mergeCell ref="A2771:C2771"/>
    <mergeCell ref="D2771:L2771"/>
    <mergeCell ref="G2760:H2760"/>
    <mergeCell ref="K2760:L2760"/>
    <mergeCell ref="B2761:D2761"/>
    <mergeCell ref="B2762:D2762"/>
    <mergeCell ref="B2763:D2763"/>
    <mergeCell ref="B2764:D2764"/>
    <mergeCell ref="F2754:F2755"/>
    <mergeCell ref="G2754:J2754"/>
    <mergeCell ref="G2755:J2755"/>
    <mergeCell ref="A2758:L2758"/>
    <mergeCell ref="C2759:D2759"/>
    <mergeCell ref="J2759:L2759"/>
    <mergeCell ref="B2750:D2750"/>
    <mergeCell ref="G2750:H2750"/>
    <mergeCell ref="K2750:L2750"/>
    <mergeCell ref="B2751:D2751"/>
    <mergeCell ref="B2752:D2752"/>
    <mergeCell ref="B2753:D2753"/>
    <mergeCell ref="F2744:F2745"/>
    <mergeCell ref="G2744:J2744"/>
    <mergeCell ref="G2745:J2745"/>
    <mergeCell ref="A2748:L2748"/>
    <mergeCell ref="C2749:D2749"/>
    <mergeCell ref="J2749:L2749"/>
    <mergeCell ref="B2739:D2739"/>
    <mergeCell ref="G2739:H2739"/>
    <mergeCell ref="K2739:L2739"/>
    <mergeCell ref="B2740:D2740"/>
    <mergeCell ref="B2741:D2741"/>
    <mergeCell ref="B2742:D2742"/>
    <mergeCell ref="B2743:D2743"/>
    <mergeCell ref="F2733:F2734"/>
    <mergeCell ref="G2733:J2733"/>
    <mergeCell ref="G2734:J2734"/>
    <mergeCell ref="A2737:L2737"/>
    <mergeCell ref="C2738:D2738"/>
    <mergeCell ref="J2738:L2738"/>
    <mergeCell ref="B2729:D2729"/>
    <mergeCell ref="G2729:H2729"/>
    <mergeCell ref="K2729:L2729"/>
    <mergeCell ref="B2730:D2730"/>
    <mergeCell ref="B2731:D2731"/>
    <mergeCell ref="B2732:D2732"/>
    <mergeCell ref="F2723:F2724"/>
    <mergeCell ref="G2723:J2723"/>
    <mergeCell ref="G2724:J2724"/>
    <mergeCell ref="A2727:L2727"/>
    <mergeCell ref="C2728:D2728"/>
    <mergeCell ref="J2728:L2728"/>
    <mergeCell ref="B2719:D2719"/>
    <mergeCell ref="G2719:H2719"/>
    <mergeCell ref="K2719:L2719"/>
    <mergeCell ref="B2720:D2720"/>
    <mergeCell ref="B2721:D2721"/>
    <mergeCell ref="B2722:D2722"/>
    <mergeCell ref="A2715:C2715"/>
    <mergeCell ref="D2715:L2715"/>
    <mergeCell ref="A2716:C2716"/>
    <mergeCell ref="D2716:L2716"/>
    <mergeCell ref="A2717:L2717"/>
    <mergeCell ref="C2718:D2718"/>
    <mergeCell ref="J2718:L2718"/>
    <mergeCell ref="A2712:C2712"/>
    <mergeCell ref="D2712:L2712"/>
    <mergeCell ref="A2713:C2713"/>
    <mergeCell ref="D2713:L2713"/>
    <mergeCell ref="A2714:C2714"/>
    <mergeCell ref="D2714:L2714"/>
    <mergeCell ref="A2709:C2709"/>
    <mergeCell ref="D2709:L2709"/>
    <mergeCell ref="A2710:C2710"/>
    <mergeCell ref="D2710:L2710"/>
    <mergeCell ref="A2711:C2711"/>
    <mergeCell ref="D2711:L2711"/>
    <mergeCell ref="B2702:D2702"/>
    <mergeCell ref="F2703:F2704"/>
    <mergeCell ref="G2703:J2703"/>
    <mergeCell ref="G2704:J2704"/>
    <mergeCell ref="A2707:L2707"/>
    <mergeCell ref="A2708:C2708"/>
    <mergeCell ref="D2708:L2708"/>
    <mergeCell ref="B2699:D2699"/>
    <mergeCell ref="G2699:H2699"/>
    <mergeCell ref="K2699:L2699"/>
    <mergeCell ref="B2700:D2700"/>
    <mergeCell ref="B2701:D2701"/>
    <mergeCell ref="A2695:C2695"/>
    <mergeCell ref="D2695:L2695"/>
    <mergeCell ref="A2696:C2696"/>
    <mergeCell ref="D2696:L2696"/>
    <mergeCell ref="A2697:L2697"/>
    <mergeCell ref="C2698:D2698"/>
    <mergeCell ref="J2698:L2698"/>
    <mergeCell ref="A2692:C2692"/>
    <mergeCell ref="D2692:L2692"/>
    <mergeCell ref="A2693:C2693"/>
    <mergeCell ref="D2693:L2693"/>
    <mergeCell ref="A2694:C2694"/>
    <mergeCell ref="D2694:L2694"/>
    <mergeCell ref="A2689:C2689"/>
    <mergeCell ref="D2689:L2689"/>
    <mergeCell ref="A2690:C2690"/>
    <mergeCell ref="D2690:L2690"/>
    <mergeCell ref="A2691:C2691"/>
    <mergeCell ref="D2691:L2691"/>
    <mergeCell ref="F2683:F2684"/>
    <mergeCell ref="G2683:J2683"/>
    <mergeCell ref="G2684:J2684"/>
    <mergeCell ref="A2687:L2687"/>
    <mergeCell ref="A2688:C2688"/>
    <mergeCell ref="D2688:L2688"/>
    <mergeCell ref="B2677:D2677"/>
    <mergeCell ref="B2678:D2678"/>
    <mergeCell ref="B2679:D2679"/>
    <mergeCell ref="B2680:D2680"/>
    <mergeCell ref="B2681:D2681"/>
    <mergeCell ref="B2682:D2682"/>
    <mergeCell ref="B2673:D2673"/>
    <mergeCell ref="G2673:H2673"/>
    <mergeCell ref="K2673:L2673"/>
    <mergeCell ref="B2674:D2674"/>
    <mergeCell ref="B2675:D2675"/>
    <mergeCell ref="B2676:D2676"/>
    <mergeCell ref="B2669:D2669"/>
    <mergeCell ref="I2669:J2669"/>
    <mergeCell ref="B2670:D2670"/>
    <mergeCell ref="A2671:L2671"/>
    <mergeCell ref="C2672:D2672"/>
    <mergeCell ref="J2672:L2672"/>
    <mergeCell ref="B2665:D2665"/>
    <mergeCell ref="A2666:L2666"/>
    <mergeCell ref="C2667:D2667"/>
    <mergeCell ref="J2667:L2667"/>
    <mergeCell ref="B2668:D2668"/>
    <mergeCell ref="G2668:H2668"/>
    <mergeCell ref="I2668:J2668"/>
    <mergeCell ref="K2668:L2668"/>
    <mergeCell ref="B2662:D2662"/>
    <mergeCell ref="I2662:J2662"/>
    <mergeCell ref="B2663:D2663"/>
    <mergeCell ref="I2663:J2663"/>
    <mergeCell ref="B2664:D2664"/>
    <mergeCell ref="I2664:J2664"/>
    <mergeCell ref="B2660:D2660"/>
    <mergeCell ref="G2660:H2660"/>
    <mergeCell ref="I2660:J2660"/>
    <mergeCell ref="K2660:L2660"/>
    <mergeCell ref="B2661:D2661"/>
    <mergeCell ref="I2661:J2661"/>
    <mergeCell ref="F2654:F2655"/>
    <mergeCell ref="G2654:J2654"/>
    <mergeCell ref="G2655:J2655"/>
    <mergeCell ref="A2658:L2658"/>
    <mergeCell ref="C2659:D2659"/>
    <mergeCell ref="J2659:L2659"/>
    <mergeCell ref="B2650:D2650"/>
    <mergeCell ref="G2650:H2650"/>
    <mergeCell ref="K2650:L2650"/>
    <mergeCell ref="B2651:D2651"/>
    <mergeCell ref="B2652:D2652"/>
    <mergeCell ref="B2653:D2653"/>
    <mergeCell ref="F2644:F2645"/>
    <mergeCell ref="G2644:J2644"/>
    <mergeCell ref="G2645:J2645"/>
    <mergeCell ref="A2648:L2648"/>
    <mergeCell ref="C2649:D2649"/>
    <mergeCell ref="J2649:L2649"/>
    <mergeCell ref="B2640:D2640"/>
    <mergeCell ref="G2640:H2640"/>
    <mergeCell ref="K2640:L2640"/>
    <mergeCell ref="B2641:D2641"/>
    <mergeCell ref="B2642:D2642"/>
    <mergeCell ref="B2643:D2643"/>
    <mergeCell ref="B2636:D2636"/>
    <mergeCell ref="I2636:J2636"/>
    <mergeCell ref="B2637:D2637"/>
    <mergeCell ref="E2637:H2637"/>
    <mergeCell ref="A2638:L2638"/>
    <mergeCell ref="C2639:D2639"/>
    <mergeCell ref="J2639:L2639"/>
    <mergeCell ref="B2632:D2632"/>
    <mergeCell ref="E2632:H2632"/>
    <mergeCell ref="A2633:L2633"/>
    <mergeCell ref="C2634:D2634"/>
    <mergeCell ref="J2634:L2634"/>
    <mergeCell ref="B2635:D2635"/>
    <mergeCell ref="I2635:J2635"/>
    <mergeCell ref="K2635:L2635"/>
    <mergeCell ref="C2629:D2629"/>
    <mergeCell ref="J2629:L2629"/>
    <mergeCell ref="B2630:D2630"/>
    <mergeCell ref="I2630:J2630"/>
    <mergeCell ref="K2630:L2630"/>
    <mergeCell ref="B2631:D2631"/>
    <mergeCell ref="I2631:J2631"/>
    <mergeCell ref="B2622:D2622"/>
    <mergeCell ref="B2623:D2623"/>
    <mergeCell ref="F2624:F2625"/>
    <mergeCell ref="G2624:J2624"/>
    <mergeCell ref="G2625:J2625"/>
    <mergeCell ref="A2628:L2628"/>
    <mergeCell ref="A2619:L2619"/>
    <mergeCell ref="C2620:D2620"/>
    <mergeCell ref="J2620:L2620"/>
    <mergeCell ref="B2621:D2621"/>
    <mergeCell ref="G2621:H2621"/>
    <mergeCell ref="K2621:L2621"/>
    <mergeCell ref="B2612:D2612"/>
    <mergeCell ref="B2613:D2613"/>
    <mergeCell ref="B2614:D2614"/>
    <mergeCell ref="F2615:F2616"/>
    <mergeCell ref="G2615:J2615"/>
    <mergeCell ref="G2616:J2616"/>
    <mergeCell ref="A2609:L2609"/>
    <mergeCell ref="C2610:D2610"/>
    <mergeCell ref="J2610:L2610"/>
    <mergeCell ref="B2611:D2611"/>
    <mergeCell ref="G2611:H2611"/>
    <mergeCell ref="K2611:L2611"/>
    <mergeCell ref="B2602:D2602"/>
    <mergeCell ref="B2603:D2603"/>
    <mergeCell ref="B2604:D2604"/>
    <mergeCell ref="F2605:F2606"/>
    <mergeCell ref="G2605:J2605"/>
    <mergeCell ref="G2606:J2606"/>
    <mergeCell ref="B2598:D2598"/>
    <mergeCell ref="E2598:H2598"/>
    <mergeCell ref="A2599:L2599"/>
    <mergeCell ref="C2600:D2600"/>
    <mergeCell ref="J2600:L2600"/>
    <mergeCell ref="B2601:D2601"/>
    <mergeCell ref="G2601:H2601"/>
    <mergeCell ref="K2601:L2601"/>
    <mergeCell ref="B2596:D2596"/>
    <mergeCell ref="I2596:J2596"/>
    <mergeCell ref="K2596:L2596"/>
    <mergeCell ref="B2597:D2597"/>
    <mergeCell ref="I2597:J2597"/>
    <mergeCell ref="A2592:C2592"/>
    <mergeCell ref="D2592:L2592"/>
    <mergeCell ref="A2593:C2593"/>
    <mergeCell ref="D2593:L2593"/>
    <mergeCell ref="A2594:L2594"/>
    <mergeCell ref="C2595:D2595"/>
    <mergeCell ref="J2595:L2595"/>
    <mergeCell ref="A2589:C2589"/>
    <mergeCell ref="D2589:L2589"/>
    <mergeCell ref="A2590:C2590"/>
    <mergeCell ref="D2590:L2590"/>
    <mergeCell ref="A2591:C2591"/>
    <mergeCell ref="D2591:L2591"/>
    <mergeCell ref="A2586:C2586"/>
    <mergeCell ref="D2586:L2586"/>
    <mergeCell ref="A2587:C2587"/>
    <mergeCell ref="D2587:L2587"/>
    <mergeCell ref="A2588:C2588"/>
    <mergeCell ref="D2588:L2588"/>
    <mergeCell ref="F2580:F2581"/>
    <mergeCell ref="G2580:J2580"/>
    <mergeCell ref="G2581:J2581"/>
    <mergeCell ref="A2584:L2584"/>
    <mergeCell ref="A2585:C2585"/>
    <mergeCell ref="D2585:L2585"/>
    <mergeCell ref="B2575:D2575"/>
    <mergeCell ref="B2576:D2576"/>
    <mergeCell ref="G2577:J2577"/>
    <mergeCell ref="B2578:D2578"/>
    <mergeCell ref="B2579:D2579"/>
    <mergeCell ref="A2572:L2572"/>
    <mergeCell ref="C2573:D2573"/>
    <mergeCell ref="J2573:L2573"/>
    <mergeCell ref="B2574:D2574"/>
    <mergeCell ref="G2574:H2574"/>
    <mergeCell ref="K2574:L2574"/>
    <mergeCell ref="B2569:D2569"/>
    <mergeCell ref="I2569:J2569"/>
    <mergeCell ref="K2569:L2569"/>
    <mergeCell ref="B2570:D2570"/>
    <mergeCell ref="I2570:J2570"/>
    <mergeCell ref="B2571:D2571"/>
    <mergeCell ref="E2571:H2571"/>
    <mergeCell ref="B2565:D2565"/>
    <mergeCell ref="I2565:J2565"/>
    <mergeCell ref="B2566:D2566"/>
    <mergeCell ref="E2566:H2566"/>
    <mergeCell ref="A2567:L2567"/>
    <mergeCell ref="C2568:D2568"/>
    <mergeCell ref="J2568:L2568"/>
    <mergeCell ref="A2562:L2562"/>
    <mergeCell ref="C2563:D2563"/>
    <mergeCell ref="J2563:L2563"/>
    <mergeCell ref="B2564:D2564"/>
    <mergeCell ref="I2564:J2564"/>
    <mergeCell ref="K2564:L2564"/>
    <mergeCell ref="A2559:C2559"/>
    <mergeCell ref="D2559:L2559"/>
    <mergeCell ref="A2560:C2560"/>
    <mergeCell ref="D2560:L2560"/>
    <mergeCell ref="A2561:C2561"/>
    <mergeCell ref="D2561:L2561"/>
    <mergeCell ref="A2556:C2556"/>
    <mergeCell ref="D2556:L2556"/>
    <mergeCell ref="A2557:C2557"/>
    <mergeCell ref="D2557:L2557"/>
    <mergeCell ref="A2558:C2558"/>
    <mergeCell ref="D2558:L2558"/>
    <mergeCell ref="A2552:L2552"/>
    <mergeCell ref="A2553:C2553"/>
    <mergeCell ref="D2553:L2553"/>
    <mergeCell ref="A2554:C2554"/>
    <mergeCell ref="D2554:L2554"/>
    <mergeCell ref="A2555:C2555"/>
    <mergeCell ref="D2555:L2555"/>
    <mergeCell ref="B2545:D2545"/>
    <mergeCell ref="B2546:D2546"/>
    <mergeCell ref="B2547:D2547"/>
    <mergeCell ref="F2548:F2549"/>
    <mergeCell ref="G2548:J2548"/>
    <mergeCell ref="G2549:J2549"/>
    <mergeCell ref="B2539:D2539"/>
    <mergeCell ref="B2540:D2540"/>
    <mergeCell ref="B2541:D2541"/>
    <mergeCell ref="B2542:D2542"/>
    <mergeCell ref="B2543:D2543"/>
    <mergeCell ref="B2544:D2544"/>
    <mergeCell ref="C2536:D2536"/>
    <mergeCell ref="J2536:L2536"/>
    <mergeCell ref="B2537:D2537"/>
    <mergeCell ref="G2537:H2537"/>
    <mergeCell ref="K2537:L2537"/>
    <mergeCell ref="B2538:D2538"/>
    <mergeCell ref="B2533:D2533"/>
    <mergeCell ref="I2533:J2533"/>
    <mergeCell ref="B2534:D2534"/>
    <mergeCell ref="E2534:H2534"/>
    <mergeCell ref="A2535:L2535"/>
    <mergeCell ref="B2529:D2529"/>
    <mergeCell ref="E2529:H2529"/>
    <mergeCell ref="A2530:L2530"/>
    <mergeCell ref="C2531:D2531"/>
    <mergeCell ref="J2531:L2531"/>
    <mergeCell ref="B2532:D2532"/>
    <mergeCell ref="I2532:J2532"/>
    <mergeCell ref="K2532:L2532"/>
    <mergeCell ref="C2526:D2526"/>
    <mergeCell ref="J2526:L2526"/>
    <mergeCell ref="B2527:D2527"/>
    <mergeCell ref="I2527:J2527"/>
    <mergeCell ref="K2527:L2527"/>
    <mergeCell ref="B2528:D2528"/>
    <mergeCell ref="I2528:J2528"/>
    <mergeCell ref="B2523:D2523"/>
    <mergeCell ref="I2523:J2523"/>
    <mergeCell ref="B2524:D2524"/>
    <mergeCell ref="E2524:H2524"/>
    <mergeCell ref="A2525:L2525"/>
    <mergeCell ref="B2519:D2519"/>
    <mergeCell ref="E2519:H2519"/>
    <mergeCell ref="A2520:L2520"/>
    <mergeCell ref="C2521:D2521"/>
    <mergeCell ref="J2521:L2521"/>
    <mergeCell ref="B2522:D2522"/>
    <mergeCell ref="I2522:J2522"/>
    <mergeCell ref="K2522:L2522"/>
    <mergeCell ref="C2516:D2516"/>
    <mergeCell ref="J2516:L2516"/>
    <mergeCell ref="B2517:D2517"/>
    <mergeCell ref="I2517:J2517"/>
    <mergeCell ref="K2517:L2517"/>
    <mergeCell ref="B2518:D2518"/>
    <mergeCell ref="I2518:J2518"/>
    <mergeCell ref="B2510:D2510"/>
    <mergeCell ref="F2511:F2512"/>
    <mergeCell ref="G2511:J2511"/>
    <mergeCell ref="G2512:J2512"/>
    <mergeCell ref="A2515:L2515"/>
    <mergeCell ref="B2507:D2507"/>
    <mergeCell ref="G2507:H2507"/>
    <mergeCell ref="K2507:L2507"/>
    <mergeCell ref="B2508:D2508"/>
    <mergeCell ref="B2509:D2509"/>
    <mergeCell ref="F2501:F2502"/>
    <mergeCell ref="G2501:J2501"/>
    <mergeCell ref="G2502:J2502"/>
    <mergeCell ref="A2505:L2505"/>
    <mergeCell ref="C2506:D2506"/>
    <mergeCell ref="J2506:L2506"/>
    <mergeCell ref="B2497:D2497"/>
    <mergeCell ref="G2497:H2497"/>
    <mergeCell ref="K2497:L2497"/>
    <mergeCell ref="B2498:D2498"/>
    <mergeCell ref="B2499:D2499"/>
    <mergeCell ref="B2500:D2500"/>
    <mergeCell ref="F2491:F2492"/>
    <mergeCell ref="G2491:J2491"/>
    <mergeCell ref="G2492:J2492"/>
    <mergeCell ref="A2495:L2495"/>
    <mergeCell ref="C2496:D2496"/>
    <mergeCell ref="J2496:L2496"/>
    <mergeCell ref="B2487:D2487"/>
    <mergeCell ref="G2487:H2487"/>
    <mergeCell ref="K2487:L2487"/>
    <mergeCell ref="B2488:D2488"/>
    <mergeCell ref="B2489:D2489"/>
    <mergeCell ref="B2490:D2490"/>
    <mergeCell ref="F2481:F2482"/>
    <mergeCell ref="G2481:J2481"/>
    <mergeCell ref="G2482:J2482"/>
    <mergeCell ref="A2485:L2485"/>
    <mergeCell ref="C2486:D2486"/>
    <mergeCell ref="J2486:L2486"/>
    <mergeCell ref="B2477:D2477"/>
    <mergeCell ref="G2477:H2477"/>
    <mergeCell ref="K2477:L2477"/>
    <mergeCell ref="B2478:D2478"/>
    <mergeCell ref="B2479:D2479"/>
    <mergeCell ref="B2480:D2480"/>
    <mergeCell ref="B2470:D2470"/>
    <mergeCell ref="F2471:F2472"/>
    <mergeCell ref="G2471:J2471"/>
    <mergeCell ref="G2472:J2472"/>
    <mergeCell ref="A2475:L2475"/>
    <mergeCell ref="C2476:D2476"/>
    <mergeCell ref="J2476:L2476"/>
    <mergeCell ref="A2467:L2467"/>
    <mergeCell ref="C2468:D2468"/>
    <mergeCell ref="J2468:L2468"/>
    <mergeCell ref="B2469:D2469"/>
    <mergeCell ref="G2469:H2469"/>
    <mergeCell ref="K2469:L2469"/>
    <mergeCell ref="B2461:D2461"/>
    <mergeCell ref="B2462:D2462"/>
    <mergeCell ref="F2463:F2464"/>
    <mergeCell ref="G2463:J2463"/>
    <mergeCell ref="G2464:J2464"/>
    <mergeCell ref="A2458:L2458"/>
    <mergeCell ref="C2459:D2459"/>
    <mergeCell ref="J2459:L2459"/>
    <mergeCell ref="B2460:D2460"/>
    <mergeCell ref="G2460:H2460"/>
    <mergeCell ref="K2460:L2460"/>
    <mergeCell ref="B2451:D2451"/>
    <mergeCell ref="G2451:H2451"/>
    <mergeCell ref="K2451:L2451"/>
    <mergeCell ref="B2452:D2452"/>
    <mergeCell ref="B2453:D2453"/>
    <mergeCell ref="F2454:F2455"/>
    <mergeCell ref="G2454:J2454"/>
    <mergeCell ref="G2455:J2455"/>
    <mergeCell ref="B2447:D2447"/>
    <mergeCell ref="I2447:J2447"/>
    <mergeCell ref="A2449:L2449"/>
    <mergeCell ref="C2450:D2450"/>
    <mergeCell ref="J2450:L2450"/>
    <mergeCell ref="B2444:D2444"/>
    <mergeCell ref="I2444:J2444"/>
    <mergeCell ref="B2445:D2445"/>
    <mergeCell ref="I2445:J2445"/>
    <mergeCell ref="B2446:D2446"/>
    <mergeCell ref="I2446:J2446"/>
    <mergeCell ref="B2441:D2441"/>
    <mergeCell ref="I2441:J2441"/>
    <mergeCell ref="B2442:D2442"/>
    <mergeCell ref="I2442:J2442"/>
    <mergeCell ref="B2443:D2443"/>
    <mergeCell ref="I2443:J2443"/>
    <mergeCell ref="A2438:L2438"/>
    <mergeCell ref="C2439:D2439"/>
    <mergeCell ref="J2439:L2439"/>
    <mergeCell ref="B2440:D2440"/>
    <mergeCell ref="I2440:J2440"/>
    <mergeCell ref="K2440:L2440"/>
    <mergeCell ref="B2431:D2431"/>
    <mergeCell ref="B2432:D2432"/>
    <mergeCell ref="B2433:D2433"/>
    <mergeCell ref="F2434:F2435"/>
    <mergeCell ref="G2434:J2434"/>
    <mergeCell ref="G2435:J2435"/>
    <mergeCell ref="A2428:L2428"/>
    <mergeCell ref="C2429:D2429"/>
    <mergeCell ref="J2429:L2429"/>
    <mergeCell ref="B2430:D2430"/>
    <mergeCell ref="G2430:H2430"/>
    <mergeCell ref="K2430:L2430"/>
    <mergeCell ref="B2424:D2424"/>
    <mergeCell ref="I2424:J2424"/>
    <mergeCell ref="B2425:D2425"/>
    <mergeCell ref="I2425:J2425"/>
    <mergeCell ref="B2427:D2427"/>
    <mergeCell ref="E2427:H2427"/>
    <mergeCell ref="B2420:D2420"/>
    <mergeCell ref="E2420:H2420"/>
    <mergeCell ref="A2421:L2421"/>
    <mergeCell ref="C2422:D2422"/>
    <mergeCell ref="J2422:L2422"/>
    <mergeCell ref="B2423:D2423"/>
    <mergeCell ref="I2423:J2423"/>
    <mergeCell ref="K2423:L2423"/>
    <mergeCell ref="B2418:D2418"/>
    <mergeCell ref="I2418:J2418"/>
    <mergeCell ref="K2418:L2418"/>
    <mergeCell ref="B2419:D2419"/>
    <mergeCell ref="I2419:J2419"/>
    <mergeCell ref="B2403:D2403"/>
    <mergeCell ref="I2403:J2403"/>
    <mergeCell ref="B2404:D2404"/>
    <mergeCell ref="A2405:L2405"/>
    <mergeCell ref="C2417:D2417"/>
    <mergeCell ref="J2417:L2417"/>
    <mergeCell ref="B2408:D2408"/>
    <mergeCell ref="B2409:D2409"/>
    <mergeCell ref="B2411:D2411"/>
    <mergeCell ref="F2412:F2413"/>
    <mergeCell ref="B2410:D2410"/>
    <mergeCell ref="G2412:J2412"/>
    <mergeCell ref="G2413:J2413"/>
    <mergeCell ref="A2416:L2416"/>
    <mergeCell ref="A2415:D2415"/>
    <mergeCell ref="A2414:D2414"/>
    <mergeCell ref="C2406:D2406"/>
    <mergeCell ref="J2406:L2406"/>
    <mergeCell ref="B2407:D2407"/>
    <mergeCell ref="B2398:D2398"/>
    <mergeCell ref="G2398:H2398"/>
    <mergeCell ref="I2398:J2398"/>
    <mergeCell ref="B2399:D2399"/>
    <mergeCell ref="E2399:H2399"/>
    <mergeCell ref="A2400:L2400"/>
    <mergeCell ref="A2395:L2395"/>
    <mergeCell ref="C2396:D2396"/>
    <mergeCell ref="J2396:L2396"/>
    <mergeCell ref="B2397:D2397"/>
    <mergeCell ref="G2397:H2397"/>
    <mergeCell ref="I2397:J2397"/>
    <mergeCell ref="K2397:L2397"/>
    <mergeCell ref="B2389:D2389"/>
    <mergeCell ref="B2390:D2390"/>
    <mergeCell ref="F2391:F2392"/>
    <mergeCell ref="G2391:J2391"/>
    <mergeCell ref="G2392:J2392"/>
    <mergeCell ref="C2386:D2386"/>
    <mergeCell ref="J2386:L2386"/>
    <mergeCell ref="B2387:D2387"/>
    <mergeCell ref="G2387:H2387"/>
    <mergeCell ref="K2387:L2387"/>
    <mergeCell ref="B2388:D2388"/>
    <mergeCell ref="B2383:D2383"/>
    <mergeCell ref="I2383:J2383"/>
    <mergeCell ref="B2384:D2384"/>
    <mergeCell ref="E2384:H2384"/>
    <mergeCell ref="A2385:L2385"/>
    <mergeCell ref="C2381:D2381"/>
    <mergeCell ref="J2381:L2381"/>
    <mergeCell ref="B2382:D2382"/>
    <mergeCell ref="I2382:J2382"/>
    <mergeCell ref="K2382:L2382"/>
    <mergeCell ref="B2378:D2378"/>
    <mergeCell ref="I2378:J2378"/>
    <mergeCell ref="B2379:D2379"/>
    <mergeCell ref="E2379:H2379"/>
    <mergeCell ref="A2380:L2380"/>
    <mergeCell ref="A2375:L2375"/>
    <mergeCell ref="C2376:D2376"/>
    <mergeCell ref="J2376:L2376"/>
    <mergeCell ref="B2377:D2377"/>
    <mergeCell ref="I2377:J2377"/>
    <mergeCell ref="K2377:L2377"/>
    <mergeCell ref="B2372:D2372"/>
    <mergeCell ref="I2372:J2372"/>
    <mergeCell ref="K2372:L2372"/>
    <mergeCell ref="B2373:D2373"/>
    <mergeCell ref="I2373:J2373"/>
    <mergeCell ref="B2374:D2374"/>
    <mergeCell ref="E2374:H2374"/>
    <mergeCell ref="B2368:D2368"/>
    <mergeCell ref="I2368:J2368"/>
    <mergeCell ref="B2369:D2369"/>
    <mergeCell ref="E2369:H2369"/>
    <mergeCell ref="A2370:L2370"/>
    <mergeCell ref="C2371:D2371"/>
    <mergeCell ref="J2371:L2371"/>
    <mergeCell ref="B2364:D2364"/>
    <mergeCell ref="E2364:H2364"/>
    <mergeCell ref="A2365:L2365"/>
    <mergeCell ref="C2366:D2366"/>
    <mergeCell ref="J2366:L2366"/>
    <mergeCell ref="B2367:D2367"/>
    <mergeCell ref="I2367:J2367"/>
    <mergeCell ref="K2367:L2367"/>
    <mergeCell ref="C2361:D2361"/>
    <mergeCell ref="J2361:L2361"/>
    <mergeCell ref="B2362:D2362"/>
    <mergeCell ref="I2362:J2362"/>
    <mergeCell ref="K2362:L2362"/>
    <mergeCell ref="B2363:D2363"/>
    <mergeCell ref="I2363:J2363"/>
    <mergeCell ref="B2358:D2358"/>
    <mergeCell ref="I2358:J2358"/>
    <mergeCell ref="B2359:D2359"/>
    <mergeCell ref="E2359:H2359"/>
    <mergeCell ref="A2360:L2360"/>
    <mergeCell ref="C2356:D2356"/>
    <mergeCell ref="J2356:L2356"/>
    <mergeCell ref="B2357:D2357"/>
    <mergeCell ref="I2357:J2357"/>
    <mergeCell ref="K2357:L2357"/>
    <mergeCell ref="B2350:D2350"/>
    <mergeCell ref="B2351:D2351"/>
    <mergeCell ref="F2351:F2352"/>
    <mergeCell ref="G2351:J2351"/>
    <mergeCell ref="G2352:J2352"/>
    <mergeCell ref="A2355:L2355"/>
    <mergeCell ref="B2347:D2347"/>
    <mergeCell ref="G2347:H2347"/>
    <mergeCell ref="K2347:L2347"/>
    <mergeCell ref="B2348:D2348"/>
    <mergeCell ref="B2349:D2349"/>
    <mergeCell ref="G2341:J2341"/>
    <mergeCell ref="B2342:D2342"/>
    <mergeCell ref="G2342:J2342"/>
    <mergeCell ref="A2345:L2345"/>
    <mergeCell ref="C2346:D2346"/>
    <mergeCell ref="J2346:L2346"/>
    <mergeCell ref="B2337:D2337"/>
    <mergeCell ref="B2338:D2338"/>
    <mergeCell ref="B2339:D2339"/>
    <mergeCell ref="B2340:D2340"/>
    <mergeCell ref="B2341:D2341"/>
    <mergeCell ref="F2341:F2342"/>
    <mergeCell ref="A2334:L2334"/>
    <mergeCell ref="C2335:D2335"/>
    <mergeCell ref="J2335:L2335"/>
    <mergeCell ref="B2336:D2336"/>
    <mergeCell ref="G2336:H2336"/>
    <mergeCell ref="K2336:L2336"/>
    <mergeCell ref="B2327:D2327"/>
    <mergeCell ref="B2328:D2328"/>
    <mergeCell ref="B2329:D2329"/>
    <mergeCell ref="B2330:D2330"/>
    <mergeCell ref="F2330:F2331"/>
    <mergeCell ref="G2330:J2330"/>
    <mergeCell ref="B2331:D2331"/>
    <mergeCell ref="G2331:J2331"/>
    <mergeCell ref="A2324:L2324"/>
    <mergeCell ref="C2325:D2325"/>
    <mergeCell ref="J2325:L2325"/>
    <mergeCell ref="B2326:D2326"/>
    <mergeCell ref="G2326:H2326"/>
    <mergeCell ref="K2326:L2326"/>
    <mergeCell ref="B2317:D2317"/>
    <mergeCell ref="B2318:D2318"/>
    <mergeCell ref="B2319:D2319"/>
    <mergeCell ref="F2320:F2321"/>
    <mergeCell ref="G2320:J2320"/>
    <mergeCell ref="G2321:J2321"/>
    <mergeCell ref="A2313:C2313"/>
    <mergeCell ref="D2313:L2313"/>
    <mergeCell ref="A2314:L2314"/>
    <mergeCell ref="C2315:D2315"/>
    <mergeCell ref="J2315:L2315"/>
    <mergeCell ref="B2316:D2316"/>
    <mergeCell ref="G2316:H2316"/>
    <mergeCell ref="K2316:L2316"/>
    <mergeCell ref="A2310:C2310"/>
    <mergeCell ref="D2310:L2310"/>
    <mergeCell ref="A2311:C2311"/>
    <mergeCell ref="D2311:L2311"/>
    <mergeCell ref="A2312:C2312"/>
    <mergeCell ref="D2312:L2312"/>
    <mergeCell ref="A2307:C2307"/>
    <mergeCell ref="D2307:L2307"/>
    <mergeCell ref="A2308:C2308"/>
    <mergeCell ref="D2308:L2308"/>
    <mergeCell ref="A2309:C2309"/>
    <mergeCell ref="D2309:L2309"/>
    <mergeCell ref="G2300:J2300"/>
    <mergeCell ref="G2301:J2301"/>
    <mergeCell ref="A2304:L2304"/>
    <mergeCell ref="A2305:C2305"/>
    <mergeCell ref="D2305:L2305"/>
    <mergeCell ref="A2306:C2306"/>
    <mergeCell ref="D2306:L2306"/>
    <mergeCell ref="B2294:D2294"/>
    <mergeCell ref="B2295:D2295"/>
    <mergeCell ref="B2297:D2297"/>
    <mergeCell ref="B2298:D2298"/>
    <mergeCell ref="B2299:D2299"/>
    <mergeCell ref="F2300:F2301"/>
    <mergeCell ref="B2290:D2290"/>
    <mergeCell ref="G2290:H2290"/>
    <mergeCell ref="K2290:L2290"/>
    <mergeCell ref="B2291:D2291"/>
    <mergeCell ref="B2292:D2292"/>
    <mergeCell ref="B2293:D2293"/>
    <mergeCell ref="B2286:D2286"/>
    <mergeCell ref="I2286:J2286"/>
    <mergeCell ref="B2287:D2287"/>
    <mergeCell ref="A2288:L2288"/>
    <mergeCell ref="C2289:D2289"/>
    <mergeCell ref="J2289:L2289"/>
    <mergeCell ref="C2284:D2284"/>
    <mergeCell ref="J2284:L2284"/>
    <mergeCell ref="B2285:D2285"/>
    <mergeCell ref="G2285:H2285"/>
    <mergeCell ref="I2285:J2285"/>
    <mergeCell ref="K2285:L2285"/>
    <mergeCell ref="F2279:F2280"/>
    <mergeCell ref="G2279:J2279"/>
    <mergeCell ref="G2280:J2280"/>
    <mergeCell ref="B2281:D2281"/>
    <mergeCell ref="I2281:J2281"/>
    <mergeCell ref="A2283:L2283"/>
    <mergeCell ref="B2274:D2274"/>
    <mergeCell ref="B2275:D2275"/>
    <mergeCell ref="B2276:D2276"/>
    <mergeCell ref="B2277:D2277"/>
    <mergeCell ref="H2277:J2277"/>
    <mergeCell ref="B2278:D2278"/>
    <mergeCell ref="A2271:L2271"/>
    <mergeCell ref="C2272:D2272"/>
    <mergeCell ref="J2272:L2272"/>
    <mergeCell ref="B2273:D2273"/>
    <mergeCell ref="G2273:H2273"/>
    <mergeCell ref="K2273:L2273"/>
    <mergeCell ref="F2267:F2268"/>
    <mergeCell ref="G2267:J2267"/>
    <mergeCell ref="G2268:J2268"/>
    <mergeCell ref="B2269:D2269"/>
    <mergeCell ref="B2270:D2270"/>
    <mergeCell ref="B2262:D2262"/>
    <mergeCell ref="B2263:D2263"/>
    <mergeCell ref="B2264:D2264"/>
    <mergeCell ref="B2265:D2265"/>
    <mergeCell ref="H2265:J2265"/>
    <mergeCell ref="B2266:D2266"/>
    <mergeCell ref="A2259:L2259"/>
    <mergeCell ref="C2260:D2260"/>
    <mergeCell ref="J2260:L2260"/>
    <mergeCell ref="B2261:D2261"/>
    <mergeCell ref="G2261:H2261"/>
    <mergeCell ref="K2261:L2261"/>
    <mergeCell ref="B2252:D2252"/>
    <mergeCell ref="B2253:D2253"/>
    <mergeCell ref="B2254:D2254"/>
    <mergeCell ref="B2255:D2255"/>
    <mergeCell ref="F2255:F2256"/>
    <mergeCell ref="G2255:J2255"/>
    <mergeCell ref="G2256:J2256"/>
    <mergeCell ref="A2249:L2249"/>
    <mergeCell ref="C2250:D2250"/>
    <mergeCell ref="J2250:L2250"/>
    <mergeCell ref="B2251:D2251"/>
    <mergeCell ref="G2251:H2251"/>
    <mergeCell ref="K2251:L2251"/>
    <mergeCell ref="B2246:D2246"/>
    <mergeCell ref="I2246:J2246"/>
    <mergeCell ref="K2246:L2246"/>
    <mergeCell ref="B2247:D2247"/>
    <mergeCell ref="I2247:J2247"/>
    <mergeCell ref="B2248:D2248"/>
    <mergeCell ref="E2248:H2248"/>
    <mergeCell ref="B2239:D2239"/>
    <mergeCell ref="F2240:F2241"/>
    <mergeCell ref="G2240:J2240"/>
    <mergeCell ref="G2241:J2241"/>
    <mergeCell ref="A2244:L2244"/>
    <mergeCell ref="C2245:D2245"/>
    <mergeCell ref="J2245:L2245"/>
    <mergeCell ref="A2236:L2236"/>
    <mergeCell ref="C2237:D2237"/>
    <mergeCell ref="J2237:L2237"/>
    <mergeCell ref="B2238:D2238"/>
    <mergeCell ref="G2238:H2238"/>
    <mergeCell ref="K2238:L2238"/>
    <mergeCell ref="B2229:D2229"/>
    <mergeCell ref="B2230:D2230"/>
    <mergeCell ref="B2231:D2231"/>
    <mergeCell ref="B2232:D2232"/>
    <mergeCell ref="F2232:F2233"/>
    <mergeCell ref="G2232:J2232"/>
    <mergeCell ref="G2233:J2233"/>
    <mergeCell ref="A2226:L2226"/>
    <mergeCell ref="C2227:D2227"/>
    <mergeCell ref="J2227:L2227"/>
    <mergeCell ref="B2228:D2228"/>
    <mergeCell ref="G2228:H2228"/>
    <mergeCell ref="K2228:L2228"/>
    <mergeCell ref="A2223:C2223"/>
    <mergeCell ref="D2223:L2223"/>
    <mergeCell ref="A2224:C2224"/>
    <mergeCell ref="D2224:L2224"/>
    <mergeCell ref="A2225:C2225"/>
    <mergeCell ref="D2225:L2225"/>
    <mergeCell ref="A2220:C2220"/>
    <mergeCell ref="D2220:L2220"/>
    <mergeCell ref="A2221:C2221"/>
    <mergeCell ref="D2221:L2221"/>
    <mergeCell ref="A2222:C2222"/>
    <mergeCell ref="D2222:L2222"/>
    <mergeCell ref="A2217:C2217"/>
    <mergeCell ref="D2217:L2217"/>
    <mergeCell ref="A2218:C2218"/>
    <mergeCell ref="D2218:L2218"/>
    <mergeCell ref="A2219:C2219"/>
    <mergeCell ref="D2219:L2219"/>
    <mergeCell ref="B2211:D2211"/>
    <mergeCell ref="F2212:F2213"/>
    <mergeCell ref="G2212:J2212"/>
    <mergeCell ref="G2213:J2213"/>
    <mergeCell ref="A2216:L2216"/>
    <mergeCell ref="B2205:D2205"/>
    <mergeCell ref="B2206:D2206"/>
    <mergeCell ref="B2208:D2208"/>
    <mergeCell ref="B2209:D2209"/>
    <mergeCell ref="B2210:D2210"/>
    <mergeCell ref="C2201:D2201"/>
    <mergeCell ref="J2201:L2201"/>
    <mergeCell ref="B2202:D2202"/>
    <mergeCell ref="K2202:L2202"/>
    <mergeCell ref="B2203:D2203"/>
    <mergeCell ref="B2204:D2204"/>
    <mergeCell ref="B2198:D2198"/>
    <mergeCell ref="G2198:H2198"/>
    <mergeCell ref="I2198:J2198"/>
    <mergeCell ref="B2199:D2199"/>
    <mergeCell ref="E2199:H2199"/>
    <mergeCell ref="A2200:L2200"/>
    <mergeCell ref="A2195:L2195"/>
    <mergeCell ref="C2196:D2196"/>
    <mergeCell ref="J2196:L2196"/>
    <mergeCell ref="B2197:D2197"/>
    <mergeCell ref="G2197:H2197"/>
    <mergeCell ref="I2197:J2197"/>
    <mergeCell ref="K2197:L2197"/>
    <mergeCell ref="B2192:D2192"/>
    <mergeCell ref="I2192:J2192"/>
    <mergeCell ref="K2192:L2192"/>
    <mergeCell ref="B2193:D2193"/>
    <mergeCell ref="I2193:J2193"/>
    <mergeCell ref="B2194:D2194"/>
    <mergeCell ref="E2194:H2194"/>
    <mergeCell ref="B2188:D2188"/>
    <mergeCell ref="I2188:J2188"/>
    <mergeCell ref="B2189:D2189"/>
    <mergeCell ref="E2189:H2189"/>
    <mergeCell ref="A2190:L2190"/>
    <mergeCell ref="C2191:D2191"/>
    <mergeCell ref="J2191:L2191"/>
    <mergeCell ref="A2184:C2184"/>
    <mergeCell ref="D2184:L2184"/>
    <mergeCell ref="A2185:L2185"/>
    <mergeCell ref="C2186:D2186"/>
    <mergeCell ref="J2186:L2186"/>
    <mergeCell ref="B2187:D2187"/>
    <mergeCell ref="I2187:J2187"/>
    <mergeCell ref="K2187:L2187"/>
    <mergeCell ref="A2181:C2181"/>
    <mergeCell ref="D2181:L2181"/>
    <mergeCell ref="A2182:C2182"/>
    <mergeCell ref="D2182:L2182"/>
    <mergeCell ref="A2183:C2183"/>
    <mergeCell ref="D2183:L2183"/>
    <mergeCell ref="A2178:C2178"/>
    <mergeCell ref="D2178:L2178"/>
    <mergeCell ref="A2179:C2179"/>
    <mergeCell ref="D2179:L2179"/>
    <mergeCell ref="A2180:C2180"/>
    <mergeCell ref="D2180:L2180"/>
    <mergeCell ref="A2175:L2175"/>
    <mergeCell ref="A2176:C2176"/>
    <mergeCell ref="D2176:L2176"/>
    <mergeCell ref="A2177:C2177"/>
    <mergeCell ref="D2177:L2177"/>
    <mergeCell ref="B2167:D2167"/>
    <mergeCell ref="B2168:D2168"/>
    <mergeCell ref="B2169:D2169"/>
    <mergeCell ref="B2170:D2170"/>
    <mergeCell ref="F2171:F2172"/>
    <mergeCell ref="G2171:J2171"/>
    <mergeCell ref="G2172:J2172"/>
    <mergeCell ref="B2162:D2162"/>
    <mergeCell ref="B2163:D2163"/>
    <mergeCell ref="B2164:D2164"/>
    <mergeCell ref="B2165:D2165"/>
    <mergeCell ref="C2160:D2160"/>
    <mergeCell ref="J2160:L2160"/>
    <mergeCell ref="B2161:D2161"/>
    <mergeCell ref="G2161:H2161"/>
    <mergeCell ref="K2161:L2161"/>
    <mergeCell ref="B2157:D2157"/>
    <mergeCell ref="I2157:J2157"/>
    <mergeCell ref="B2158:D2158"/>
    <mergeCell ref="E2158:H2158"/>
    <mergeCell ref="A2159:L2159"/>
    <mergeCell ref="B2153:D2153"/>
    <mergeCell ref="A2154:L2154"/>
    <mergeCell ref="C2155:D2155"/>
    <mergeCell ref="J2155:L2155"/>
    <mergeCell ref="B2156:D2156"/>
    <mergeCell ref="I2156:J2156"/>
    <mergeCell ref="K2156:L2156"/>
    <mergeCell ref="B2151:D2151"/>
    <mergeCell ref="G2151:H2151"/>
    <mergeCell ref="I2151:J2151"/>
    <mergeCell ref="K2151:L2151"/>
    <mergeCell ref="B2152:D2152"/>
    <mergeCell ref="I2152:J2152"/>
    <mergeCell ref="B2147:D2147"/>
    <mergeCell ref="I2147:J2147"/>
    <mergeCell ref="B2148:D2148"/>
    <mergeCell ref="E2148:H2148"/>
    <mergeCell ref="A2149:L2149"/>
    <mergeCell ref="C2150:D2150"/>
    <mergeCell ref="J2150:L2150"/>
    <mergeCell ref="A2144:L2144"/>
    <mergeCell ref="C2145:D2145"/>
    <mergeCell ref="J2145:L2145"/>
    <mergeCell ref="B2146:D2146"/>
    <mergeCell ref="I2146:J2146"/>
    <mergeCell ref="K2146:L2146"/>
    <mergeCell ref="B2136:D2136"/>
    <mergeCell ref="B2137:D2137"/>
    <mergeCell ref="B2138:D2138"/>
    <mergeCell ref="B2139:D2139"/>
    <mergeCell ref="F2140:F2141"/>
    <mergeCell ref="G2140:J2140"/>
    <mergeCell ref="G2141:J2141"/>
    <mergeCell ref="A2133:L2133"/>
    <mergeCell ref="C2134:D2134"/>
    <mergeCell ref="J2134:L2134"/>
    <mergeCell ref="B2135:D2135"/>
    <mergeCell ref="G2135:H2135"/>
    <mergeCell ref="K2135:L2135"/>
    <mergeCell ref="B2125:D2125"/>
    <mergeCell ref="B2126:D2126"/>
    <mergeCell ref="B2127:D2127"/>
    <mergeCell ref="B2128:D2128"/>
    <mergeCell ref="F2129:F2130"/>
    <mergeCell ref="G2129:J2129"/>
    <mergeCell ref="G2130:J2130"/>
    <mergeCell ref="A2121:C2121"/>
    <mergeCell ref="D2121:L2121"/>
    <mergeCell ref="A2122:L2122"/>
    <mergeCell ref="C2123:D2123"/>
    <mergeCell ref="J2123:L2123"/>
    <mergeCell ref="B2124:D2124"/>
    <mergeCell ref="G2124:H2124"/>
    <mergeCell ref="K2124:L2124"/>
    <mergeCell ref="A2118:C2118"/>
    <mergeCell ref="D2118:L2118"/>
    <mergeCell ref="A2119:C2119"/>
    <mergeCell ref="D2119:L2119"/>
    <mergeCell ref="A2120:C2120"/>
    <mergeCell ref="D2120:L2120"/>
    <mergeCell ref="A2115:C2115"/>
    <mergeCell ref="D2115:L2115"/>
    <mergeCell ref="A2116:C2116"/>
    <mergeCell ref="D2116:L2116"/>
    <mergeCell ref="A2117:C2117"/>
    <mergeCell ref="D2117:L2117"/>
    <mergeCell ref="B2110:D2110"/>
    <mergeCell ref="I2110:J2110"/>
    <mergeCell ref="A2112:L2112"/>
    <mergeCell ref="A2113:C2113"/>
    <mergeCell ref="D2113:L2113"/>
    <mergeCell ref="A2114:C2114"/>
    <mergeCell ref="D2114:L2114"/>
    <mergeCell ref="B2106:D2106"/>
    <mergeCell ref="I2106:J2106"/>
    <mergeCell ref="B2107:D2107"/>
    <mergeCell ref="F2108:F2109"/>
    <mergeCell ref="G2108:J2108"/>
    <mergeCell ref="G2109:J2109"/>
    <mergeCell ref="B2102:D2102"/>
    <mergeCell ref="G2102:H2102"/>
    <mergeCell ref="K2102:L2102"/>
    <mergeCell ref="B2103:D2103"/>
    <mergeCell ref="B2104:D2104"/>
    <mergeCell ref="B2105:D2105"/>
    <mergeCell ref="B2096:D2096"/>
    <mergeCell ref="I2096:J2096"/>
    <mergeCell ref="I2097:J2097"/>
    <mergeCell ref="B2099:D2099"/>
    <mergeCell ref="A2100:L2100"/>
    <mergeCell ref="C2101:D2101"/>
    <mergeCell ref="J2101:L2101"/>
    <mergeCell ref="A2093:L2093"/>
    <mergeCell ref="C2094:D2094"/>
    <mergeCell ref="J2094:L2094"/>
    <mergeCell ref="B2095:D2095"/>
    <mergeCell ref="G2095:H2095"/>
    <mergeCell ref="I2095:J2095"/>
    <mergeCell ref="K2095:L2095"/>
    <mergeCell ref="B2087:D2087"/>
    <mergeCell ref="G2087:H2087"/>
    <mergeCell ref="K2087:L2087"/>
    <mergeCell ref="B2088:D2088"/>
    <mergeCell ref="F2089:F2090"/>
    <mergeCell ref="G2089:J2089"/>
    <mergeCell ref="G2090:J2090"/>
    <mergeCell ref="B2083:D2083"/>
    <mergeCell ref="I2083:J2083"/>
    <mergeCell ref="B2084:D2084"/>
    <mergeCell ref="A2085:L2085"/>
    <mergeCell ref="C2086:D2086"/>
    <mergeCell ref="J2086:L2086"/>
    <mergeCell ref="C2081:D2081"/>
    <mergeCell ref="J2081:L2081"/>
    <mergeCell ref="B2082:D2082"/>
    <mergeCell ref="G2082:H2082"/>
    <mergeCell ref="I2082:J2082"/>
    <mergeCell ref="K2082:L2082"/>
    <mergeCell ref="B2078:D2078"/>
    <mergeCell ref="I2078:J2078"/>
    <mergeCell ref="B2079:D2079"/>
    <mergeCell ref="E2079:H2079"/>
    <mergeCell ref="A2080:L2080"/>
    <mergeCell ref="B2074:D2074"/>
    <mergeCell ref="A2075:L2075"/>
    <mergeCell ref="C2076:D2076"/>
    <mergeCell ref="J2076:L2076"/>
    <mergeCell ref="B2077:D2077"/>
    <mergeCell ref="G2077:H2077"/>
    <mergeCell ref="I2077:J2077"/>
    <mergeCell ref="K2077:L2077"/>
    <mergeCell ref="B2069:D2069"/>
    <mergeCell ref="B2070:D2070"/>
    <mergeCell ref="F2071:F2072"/>
    <mergeCell ref="G2071:J2071"/>
    <mergeCell ref="G2072:J2072"/>
    <mergeCell ref="B2064:D2064"/>
    <mergeCell ref="G2064:H2064"/>
    <mergeCell ref="K2064:L2064"/>
    <mergeCell ref="B2065:D2065"/>
    <mergeCell ref="B2066:D2066"/>
    <mergeCell ref="B2067:D2067"/>
    <mergeCell ref="B2060:D2060"/>
    <mergeCell ref="I2060:J2060"/>
    <mergeCell ref="B2061:D2061"/>
    <mergeCell ref="E2061:H2061"/>
    <mergeCell ref="A2062:L2062"/>
    <mergeCell ref="C2063:D2063"/>
    <mergeCell ref="J2063:L2063"/>
    <mergeCell ref="B2056:D2056"/>
    <mergeCell ref="A2057:L2057"/>
    <mergeCell ref="C2058:D2058"/>
    <mergeCell ref="J2058:L2058"/>
    <mergeCell ref="B2059:D2059"/>
    <mergeCell ref="G2059:H2059"/>
    <mergeCell ref="I2059:J2059"/>
    <mergeCell ref="K2059:L2059"/>
    <mergeCell ref="B2054:D2054"/>
    <mergeCell ref="G2054:H2054"/>
    <mergeCell ref="I2054:J2054"/>
    <mergeCell ref="K2054:L2054"/>
    <mergeCell ref="B2055:D2055"/>
    <mergeCell ref="I2055:J2055"/>
    <mergeCell ref="C2053:D2053"/>
    <mergeCell ref="J2053:L2053"/>
    <mergeCell ref="B2068:D2068"/>
    <mergeCell ref="B2036:D2036"/>
    <mergeCell ref="G2036:I2036"/>
    <mergeCell ref="A2037:L2037"/>
    <mergeCell ref="A2038:L2038"/>
    <mergeCell ref="B2032:D2032"/>
    <mergeCell ref="G2032:H2032"/>
    <mergeCell ref="K2032:L2032"/>
    <mergeCell ref="B2033:D2033"/>
    <mergeCell ref="B2034:D2034"/>
    <mergeCell ref="B2041:D2041"/>
    <mergeCell ref="B2042:D2042"/>
    <mergeCell ref="B2043:D2043"/>
    <mergeCell ref="B2044:D2044"/>
    <mergeCell ref="B2045:D2045"/>
    <mergeCell ref="B2046:D2046"/>
    <mergeCell ref="C2039:D2039"/>
    <mergeCell ref="J2039:L2039"/>
    <mergeCell ref="B2040:D2040"/>
    <mergeCell ref="G2040:H2040"/>
    <mergeCell ref="K2040:L2040"/>
    <mergeCell ref="B2027:D2027"/>
    <mergeCell ref="I2027:J2027"/>
    <mergeCell ref="B2028:D2028"/>
    <mergeCell ref="B2029:D2029"/>
    <mergeCell ref="A2030:L2030"/>
    <mergeCell ref="C2031:D2031"/>
    <mergeCell ref="J2031:L2031"/>
    <mergeCell ref="B2024:D2024"/>
    <mergeCell ref="I2024:J2024"/>
    <mergeCell ref="B2025:D2025"/>
    <mergeCell ref="I2025:J2025"/>
    <mergeCell ref="B2026:D2026"/>
    <mergeCell ref="I2026:J2026"/>
    <mergeCell ref="B2020:D2020"/>
    <mergeCell ref="A2021:L2021"/>
    <mergeCell ref="C2022:D2022"/>
    <mergeCell ref="J2022:L2022"/>
    <mergeCell ref="B2023:D2023"/>
    <mergeCell ref="G2023:H2023"/>
    <mergeCell ref="I2023:J2023"/>
    <mergeCell ref="K2023:L2023"/>
    <mergeCell ref="B2016:D2016"/>
    <mergeCell ref="I2016:J2016"/>
    <mergeCell ref="B2017:D2017"/>
    <mergeCell ref="I2017:J2017"/>
    <mergeCell ref="B2018:D2018"/>
    <mergeCell ref="I2018:J2018"/>
    <mergeCell ref="C2014:D2014"/>
    <mergeCell ref="J2014:L2014"/>
    <mergeCell ref="B2015:D2015"/>
    <mergeCell ref="G2015:H2015"/>
    <mergeCell ref="I2015:J2015"/>
    <mergeCell ref="K2015:L2015"/>
    <mergeCell ref="B2010:D2010"/>
    <mergeCell ref="I2010:J2010"/>
    <mergeCell ref="B2011:D2011"/>
    <mergeCell ref="I2011:J2011"/>
    <mergeCell ref="B2012:D2012"/>
    <mergeCell ref="A2013:L2013"/>
    <mergeCell ref="A2007:L2007"/>
    <mergeCell ref="C2008:D2008"/>
    <mergeCell ref="J2008:L2008"/>
    <mergeCell ref="B2009:D2009"/>
    <mergeCell ref="G2009:H2009"/>
    <mergeCell ref="I2009:J2009"/>
    <mergeCell ref="K2009:L2009"/>
    <mergeCell ref="A2004:C2004"/>
    <mergeCell ref="D2004:L2004"/>
    <mergeCell ref="A2005:C2005"/>
    <mergeCell ref="D2005:L2005"/>
    <mergeCell ref="A2006:C2006"/>
    <mergeCell ref="D2006:L2006"/>
    <mergeCell ref="A2001:C2001"/>
    <mergeCell ref="D2001:L2001"/>
    <mergeCell ref="A2002:C2002"/>
    <mergeCell ref="D2002:L2002"/>
    <mergeCell ref="A2003:C2003"/>
    <mergeCell ref="D2003:L2003"/>
    <mergeCell ref="A1997:L1997"/>
    <mergeCell ref="A1998:C1998"/>
    <mergeCell ref="D1998:L1998"/>
    <mergeCell ref="A1999:C1999"/>
    <mergeCell ref="D1999:L1999"/>
    <mergeCell ref="A2000:C2000"/>
    <mergeCell ref="D2000:L2000"/>
    <mergeCell ref="B1990:D1990"/>
    <mergeCell ref="B1991:D1991"/>
    <mergeCell ref="B1992:D1992"/>
    <mergeCell ref="F1993:F1994"/>
    <mergeCell ref="G1993:J1993"/>
    <mergeCell ref="G1994:J1994"/>
    <mergeCell ref="B1984:D1984"/>
    <mergeCell ref="B1985:D1985"/>
    <mergeCell ref="B1986:D1986"/>
    <mergeCell ref="B1987:D1987"/>
    <mergeCell ref="B1988:D1988"/>
    <mergeCell ref="B1989:D1989"/>
    <mergeCell ref="B1980:D1980"/>
    <mergeCell ref="G1980:H1980"/>
    <mergeCell ref="K1980:L1980"/>
    <mergeCell ref="B1981:D1981"/>
    <mergeCell ref="B1982:D1982"/>
    <mergeCell ref="B1983:D1983"/>
    <mergeCell ref="A1976:C1976"/>
    <mergeCell ref="D1976:L1976"/>
    <mergeCell ref="A1977:C1977"/>
    <mergeCell ref="D1977:L1977"/>
    <mergeCell ref="A1978:L1978"/>
    <mergeCell ref="C1979:D1979"/>
    <mergeCell ref="J1979:L1979"/>
    <mergeCell ref="A1973:C1973"/>
    <mergeCell ref="D1973:L1973"/>
    <mergeCell ref="A1974:C1974"/>
    <mergeCell ref="D1974:L1974"/>
    <mergeCell ref="A1975:C1975"/>
    <mergeCell ref="D1975:L1975"/>
    <mergeCell ref="A1970:C1970"/>
    <mergeCell ref="D1970:L1970"/>
    <mergeCell ref="A1971:C1971"/>
    <mergeCell ref="D1971:L1971"/>
    <mergeCell ref="A1972:C1972"/>
    <mergeCell ref="D1972:L1972"/>
    <mergeCell ref="F1964:F1965"/>
    <mergeCell ref="G1964:J1964"/>
    <mergeCell ref="G1965:J1965"/>
    <mergeCell ref="A1968:L1968"/>
    <mergeCell ref="A1969:C1969"/>
    <mergeCell ref="D1969:L1969"/>
    <mergeCell ref="B1958:D1958"/>
    <mergeCell ref="B1959:D1959"/>
    <mergeCell ref="B1960:D1960"/>
    <mergeCell ref="B1961:D1961"/>
    <mergeCell ref="B1962:D1962"/>
    <mergeCell ref="B1963:D1963"/>
    <mergeCell ref="B1952:D1952"/>
    <mergeCell ref="B1953:D1953"/>
    <mergeCell ref="B1954:D1954"/>
    <mergeCell ref="B1955:D1955"/>
    <mergeCell ref="B1956:D1956"/>
    <mergeCell ref="B1957:D1957"/>
    <mergeCell ref="A1949:L1949"/>
    <mergeCell ref="C1950:D1950"/>
    <mergeCell ref="J1950:L1950"/>
    <mergeCell ref="B1951:D1951"/>
    <mergeCell ref="G1951:H1951"/>
    <mergeCell ref="K1951:L1951"/>
    <mergeCell ref="A1946:C1946"/>
    <mergeCell ref="D1946:L1946"/>
    <mergeCell ref="A1947:C1947"/>
    <mergeCell ref="D1947:L1947"/>
    <mergeCell ref="A1948:C1948"/>
    <mergeCell ref="D1948:L1948"/>
    <mergeCell ref="A1943:C1943"/>
    <mergeCell ref="D1943:L1943"/>
    <mergeCell ref="A1944:C1944"/>
    <mergeCell ref="D1944:L1944"/>
    <mergeCell ref="A1945:C1945"/>
    <mergeCell ref="D1945:L1945"/>
    <mergeCell ref="A1940:C1940"/>
    <mergeCell ref="D1940:L1940"/>
    <mergeCell ref="A1941:C1941"/>
    <mergeCell ref="D1941:L1941"/>
    <mergeCell ref="A1942:C1942"/>
    <mergeCell ref="D1942:L1942"/>
    <mergeCell ref="B1933:D1933"/>
    <mergeCell ref="B1934:D1934"/>
    <mergeCell ref="F1935:F1936"/>
    <mergeCell ref="G1935:J1935"/>
    <mergeCell ref="G1936:J1936"/>
    <mergeCell ref="A1939:L1939"/>
    <mergeCell ref="B1927:D1927"/>
    <mergeCell ref="B1928:D1928"/>
    <mergeCell ref="B1929:D1929"/>
    <mergeCell ref="B1930:D1930"/>
    <mergeCell ref="B1931:D1931"/>
    <mergeCell ref="B1932:D1932"/>
    <mergeCell ref="B1921:D1921"/>
    <mergeCell ref="B1922:D1922"/>
    <mergeCell ref="B1923:D1923"/>
    <mergeCell ref="B1924:D1924"/>
    <mergeCell ref="B1925:D1925"/>
    <mergeCell ref="B1926:D1926"/>
    <mergeCell ref="A1917:C1917"/>
    <mergeCell ref="D1917:L1917"/>
    <mergeCell ref="A1918:L1918"/>
    <mergeCell ref="C1919:D1919"/>
    <mergeCell ref="J1919:L1919"/>
    <mergeCell ref="B1920:D1920"/>
    <mergeCell ref="G1920:H1920"/>
    <mergeCell ref="K1920:L1920"/>
    <mergeCell ref="A1914:C1914"/>
    <mergeCell ref="D1914:L1914"/>
    <mergeCell ref="A1915:C1915"/>
    <mergeCell ref="D1915:L1915"/>
    <mergeCell ref="A1916:C1916"/>
    <mergeCell ref="D1916:L1916"/>
    <mergeCell ref="A1911:C1911"/>
    <mergeCell ref="D1911:L1911"/>
    <mergeCell ref="A1912:C1912"/>
    <mergeCell ref="D1912:L1912"/>
    <mergeCell ref="A1913:C1913"/>
    <mergeCell ref="D1913:L1913"/>
    <mergeCell ref="B1906:F1906"/>
    <mergeCell ref="A1908:L1908"/>
    <mergeCell ref="A1909:C1909"/>
    <mergeCell ref="D1909:L1909"/>
    <mergeCell ref="A1910:C1910"/>
    <mergeCell ref="D1910:L1910"/>
    <mergeCell ref="B1901:D1901"/>
    <mergeCell ref="B1902:D1902"/>
    <mergeCell ref="B1903:D1903"/>
    <mergeCell ref="F1904:F1905"/>
    <mergeCell ref="G1904:J1904"/>
    <mergeCell ref="G1905:J1905"/>
    <mergeCell ref="B1895:D1895"/>
    <mergeCell ref="B1896:D1896"/>
    <mergeCell ref="B1897:D1897"/>
    <mergeCell ref="B1898:D1898"/>
    <mergeCell ref="B1899:D1899"/>
    <mergeCell ref="B1900:D1900"/>
    <mergeCell ref="A1891:C1891"/>
    <mergeCell ref="D1891:L1891"/>
    <mergeCell ref="A1892:L1892"/>
    <mergeCell ref="C1893:D1893"/>
    <mergeCell ref="J1893:L1893"/>
    <mergeCell ref="B1894:D1894"/>
    <mergeCell ref="G1894:H1894"/>
    <mergeCell ref="K1894:L1894"/>
    <mergeCell ref="A1888:C1888"/>
    <mergeCell ref="D1888:L1888"/>
    <mergeCell ref="A1889:C1889"/>
    <mergeCell ref="D1889:L1889"/>
    <mergeCell ref="A1890:C1890"/>
    <mergeCell ref="D1890:L1890"/>
    <mergeCell ref="A1885:C1885"/>
    <mergeCell ref="D1885:L1885"/>
    <mergeCell ref="A1886:C1886"/>
    <mergeCell ref="D1886:L1886"/>
    <mergeCell ref="A1887:C1887"/>
    <mergeCell ref="D1887:L1887"/>
    <mergeCell ref="G1878:J1878"/>
    <mergeCell ref="G1879:J1879"/>
    <mergeCell ref="A1882:L1882"/>
    <mergeCell ref="A1883:C1883"/>
    <mergeCell ref="D1883:L1883"/>
    <mergeCell ref="A1884:C1884"/>
    <mergeCell ref="D1884:L1884"/>
    <mergeCell ref="B1873:D1873"/>
    <mergeCell ref="B1874:D1874"/>
    <mergeCell ref="B1875:D1875"/>
    <mergeCell ref="B1876:D1876"/>
    <mergeCell ref="B1877:D1877"/>
    <mergeCell ref="F1878:F1879"/>
    <mergeCell ref="B1869:D1869"/>
    <mergeCell ref="G1869:H1869"/>
    <mergeCell ref="K1869:L1869"/>
    <mergeCell ref="B1870:D1870"/>
    <mergeCell ref="B1871:D1871"/>
    <mergeCell ref="B1872:D1872"/>
    <mergeCell ref="A1865:C1865"/>
    <mergeCell ref="D1865:L1865"/>
    <mergeCell ref="A1866:C1866"/>
    <mergeCell ref="D1866:L1866"/>
    <mergeCell ref="A1867:L1867"/>
    <mergeCell ref="C1868:D1868"/>
    <mergeCell ref="J1868:L1868"/>
    <mergeCell ref="A1862:C1862"/>
    <mergeCell ref="D1862:L1862"/>
    <mergeCell ref="A1863:C1863"/>
    <mergeCell ref="D1863:L1863"/>
    <mergeCell ref="A1864:C1864"/>
    <mergeCell ref="D1864:L1864"/>
    <mergeCell ref="A1859:C1859"/>
    <mergeCell ref="D1859:L1859"/>
    <mergeCell ref="A1860:C1860"/>
    <mergeCell ref="D1860:L1860"/>
    <mergeCell ref="A1861:C1861"/>
    <mergeCell ref="D1861:L1861"/>
    <mergeCell ref="B1852:D1852"/>
    <mergeCell ref="F1853:F1854"/>
    <mergeCell ref="G1853:J1853"/>
    <mergeCell ref="G1854:J1854"/>
    <mergeCell ref="A1857:L1857"/>
    <mergeCell ref="A1858:C1858"/>
    <mergeCell ref="D1858:L1858"/>
    <mergeCell ref="B1846:D1846"/>
    <mergeCell ref="B1847:D1847"/>
    <mergeCell ref="B1848:D1848"/>
    <mergeCell ref="B1849:D1849"/>
    <mergeCell ref="B1850:D1850"/>
    <mergeCell ref="B1851:D1851"/>
    <mergeCell ref="B1840:D1840"/>
    <mergeCell ref="B1841:D1841"/>
    <mergeCell ref="B1842:D1842"/>
    <mergeCell ref="B1843:D1843"/>
    <mergeCell ref="B1844:D1844"/>
    <mergeCell ref="B1845:D1845"/>
    <mergeCell ref="C1837:D1837"/>
    <mergeCell ref="J1837:L1837"/>
    <mergeCell ref="B1838:D1838"/>
    <mergeCell ref="G1838:H1838"/>
    <mergeCell ref="K1838:L1838"/>
    <mergeCell ref="B1839:D1839"/>
    <mergeCell ref="B1832:D1832"/>
    <mergeCell ref="F1832:F1833"/>
    <mergeCell ref="G1832:J1832"/>
    <mergeCell ref="G1833:J1833"/>
    <mergeCell ref="B1834:H1834"/>
    <mergeCell ref="A1836:L1836"/>
    <mergeCell ref="B1826:D1826"/>
    <mergeCell ref="B1827:D1827"/>
    <mergeCell ref="B1828:D1828"/>
    <mergeCell ref="B1829:D1829"/>
    <mergeCell ref="B1830:D1830"/>
    <mergeCell ref="B1831:D1831"/>
    <mergeCell ref="B1820:D1820"/>
    <mergeCell ref="B1821:D1821"/>
    <mergeCell ref="B1822:D1822"/>
    <mergeCell ref="B1823:D1823"/>
    <mergeCell ref="B1824:D1824"/>
    <mergeCell ref="B1825:D1825"/>
    <mergeCell ref="A1816:C1816"/>
    <mergeCell ref="D1816:L1816"/>
    <mergeCell ref="A1817:L1817"/>
    <mergeCell ref="C1818:D1818"/>
    <mergeCell ref="J1818:L1818"/>
    <mergeCell ref="B1819:D1819"/>
    <mergeCell ref="G1819:H1819"/>
    <mergeCell ref="K1819:L1819"/>
    <mergeCell ref="A1813:C1813"/>
    <mergeCell ref="D1813:L1813"/>
    <mergeCell ref="A1814:C1814"/>
    <mergeCell ref="D1814:L1814"/>
    <mergeCell ref="A1815:C1815"/>
    <mergeCell ref="D1815:L1815"/>
    <mergeCell ref="A1810:C1810"/>
    <mergeCell ref="D1810:L1810"/>
    <mergeCell ref="A1811:C1811"/>
    <mergeCell ref="D1811:L1811"/>
    <mergeCell ref="A1812:C1812"/>
    <mergeCell ref="D1812:L1812"/>
    <mergeCell ref="B1805:H1805"/>
    <mergeCell ref="A1807:L1807"/>
    <mergeCell ref="A1808:C1808"/>
    <mergeCell ref="D1808:L1808"/>
    <mergeCell ref="A1809:C1809"/>
    <mergeCell ref="D1809:L1809"/>
    <mergeCell ref="B1799:D1799"/>
    <mergeCell ref="B1800:D1800"/>
    <mergeCell ref="B1801:D1801"/>
    <mergeCell ref="B1802:D1802"/>
    <mergeCell ref="F1803:F1804"/>
    <mergeCell ref="G1803:J1803"/>
    <mergeCell ref="G1804:J1804"/>
    <mergeCell ref="B1794:D1794"/>
    <mergeCell ref="B1795:D1795"/>
    <mergeCell ref="B1796:D1796"/>
    <mergeCell ref="B1797:D1797"/>
    <mergeCell ref="B1798:D1798"/>
    <mergeCell ref="B1790:D1790"/>
    <mergeCell ref="G1790:H1790"/>
    <mergeCell ref="K1790:L1790"/>
    <mergeCell ref="B1791:D1791"/>
    <mergeCell ref="B1792:D1792"/>
    <mergeCell ref="B1793:D1793"/>
    <mergeCell ref="B1785:D1785"/>
    <mergeCell ref="I1785:J1785"/>
    <mergeCell ref="B1787:D1787"/>
    <mergeCell ref="A1788:L1788"/>
    <mergeCell ref="C1789:D1789"/>
    <mergeCell ref="J1789:L1789"/>
    <mergeCell ref="B1782:D1782"/>
    <mergeCell ref="I1782:J1782"/>
    <mergeCell ref="B1783:D1783"/>
    <mergeCell ref="I1783:J1783"/>
    <mergeCell ref="B1784:D1784"/>
    <mergeCell ref="I1784:J1784"/>
    <mergeCell ref="B1778:D1778"/>
    <mergeCell ref="A1779:L1779"/>
    <mergeCell ref="C1780:D1780"/>
    <mergeCell ref="J1780:L1780"/>
    <mergeCell ref="B1781:D1781"/>
    <mergeCell ref="G1781:H1781"/>
    <mergeCell ref="I1781:J1781"/>
    <mergeCell ref="K1781:L1781"/>
    <mergeCell ref="B1774:D1774"/>
    <mergeCell ref="I1774:J1774"/>
    <mergeCell ref="B1775:D1775"/>
    <mergeCell ref="I1775:J1775"/>
    <mergeCell ref="B1776:D1776"/>
    <mergeCell ref="I1776:J1776"/>
    <mergeCell ref="B1772:D1772"/>
    <mergeCell ref="G1772:H1772"/>
    <mergeCell ref="I1772:J1772"/>
    <mergeCell ref="K1772:L1772"/>
    <mergeCell ref="B1773:D1773"/>
    <mergeCell ref="I1773:J1773"/>
    <mergeCell ref="G1766:J1766"/>
    <mergeCell ref="G1767:J1767"/>
    <mergeCell ref="B1768:D1768"/>
    <mergeCell ref="A1770:L1770"/>
    <mergeCell ref="C1771:D1771"/>
    <mergeCell ref="J1771:L1771"/>
    <mergeCell ref="B1761:D1761"/>
    <mergeCell ref="B1762:D1762"/>
    <mergeCell ref="B1763:D1763"/>
    <mergeCell ref="B1764:D1764"/>
    <mergeCell ref="B1765:D1765"/>
    <mergeCell ref="F1766:F1767"/>
    <mergeCell ref="G1754:J1754"/>
    <mergeCell ref="G1755:J1755"/>
    <mergeCell ref="A1758:L1758"/>
    <mergeCell ref="C1759:D1759"/>
    <mergeCell ref="J1759:L1759"/>
    <mergeCell ref="B1760:D1760"/>
    <mergeCell ref="G1760:H1760"/>
    <mergeCell ref="K1760:L1760"/>
    <mergeCell ref="B1749:D1749"/>
    <mergeCell ref="B1750:D1750"/>
    <mergeCell ref="B1751:D1751"/>
    <mergeCell ref="B1752:D1752"/>
    <mergeCell ref="B1753:D1753"/>
    <mergeCell ref="F1754:F1755"/>
    <mergeCell ref="A1746:L1746"/>
    <mergeCell ref="C1747:D1747"/>
    <mergeCell ref="J1747:L1747"/>
    <mergeCell ref="B1748:D1748"/>
    <mergeCell ref="G1748:H1748"/>
    <mergeCell ref="K1748:L1748"/>
    <mergeCell ref="A1743:C1743"/>
    <mergeCell ref="D1743:L1743"/>
    <mergeCell ref="A1744:C1744"/>
    <mergeCell ref="D1744:L1744"/>
    <mergeCell ref="A1745:C1745"/>
    <mergeCell ref="D1745:L1745"/>
    <mergeCell ref="A1740:C1740"/>
    <mergeCell ref="D1740:L1740"/>
    <mergeCell ref="A1741:C1741"/>
    <mergeCell ref="D1741:L1741"/>
    <mergeCell ref="A1742:C1742"/>
    <mergeCell ref="D1742:L1742"/>
    <mergeCell ref="A1736:L1736"/>
    <mergeCell ref="A1737:C1737"/>
    <mergeCell ref="D1737:L1737"/>
    <mergeCell ref="A1738:C1738"/>
    <mergeCell ref="D1738:L1738"/>
    <mergeCell ref="A1739:C1739"/>
    <mergeCell ref="D1739:L1739"/>
    <mergeCell ref="B1727:D1727"/>
    <mergeCell ref="B1728:D1728"/>
    <mergeCell ref="B1730:D1730"/>
    <mergeCell ref="B1731:D1731"/>
    <mergeCell ref="F1732:F1733"/>
    <mergeCell ref="G1732:J1732"/>
    <mergeCell ref="G1733:J1733"/>
    <mergeCell ref="B1729:D1729"/>
    <mergeCell ref="A1724:L1724"/>
    <mergeCell ref="C1725:D1725"/>
    <mergeCell ref="J1725:L1725"/>
    <mergeCell ref="B1726:D1726"/>
    <mergeCell ref="G1726:H1726"/>
    <mergeCell ref="K1726:L1726"/>
    <mergeCell ref="A1721:C1721"/>
    <mergeCell ref="D1721:L1721"/>
    <mergeCell ref="A1722:C1722"/>
    <mergeCell ref="D1722:L1722"/>
    <mergeCell ref="A1723:C1723"/>
    <mergeCell ref="D1723:L1723"/>
    <mergeCell ref="A1718:C1718"/>
    <mergeCell ref="D1718:L1718"/>
    <mergeCell ref="A1719:C1719"/>
    <mergeCell ref="D1719:L1719"/>
    <mergeCell ref="A1720:C1720"/>
    <mergeCell ref="D1720:L1720"/>
    <mergeCell ref="A1715:C1715"/>
    <mergeCell ref="D1715:L1715"/>
    <mergeCell ref="A1716:C1716"/>
    <mergeCell ref="D1716:L1716"/>
    <mergeCell ref="A1717:C1717"/>
    <mergeCell ref="D1717:L1717"/>
    <mergeCell ref="B1708:D1708"/>
    <mergeCell ref="C1709:E1709"/>
    <mergeCell ref="F1710:F1711"/>
    <mergeCell ref="G1710:J1710"/>
    <mergeCell ref="G1711:J1711"/>
    <mergeCell ref="A1714:L1714"/>
    <mergeCell ref="C1705:D1705"/>
    <mergeCell ref="J1705:L1705"/>
    <mergeCell ref="B1706:D1706"/>
    <mergeCell ref="G1706:H1706"/>
    <mergeCell ref="K1706:L1706"/>
    <mergeCell ref="B1707:D1707"/>
    <mergeCell ref="B1698:D1698"/>
    <mergeCell ref="B1699:D1699"/>
    <mergeCell ref="F1700:F1701"/>
    <mergeCell ref="G1700:J1700"/>
    <mergeCell ref="G1701:J1701"/>
    <mergeCell ref="A1704:L1704"/>
    <mergeCell ref="A1695:L1695"/>
    <mergeCell ref="C1696:D1696"/>
    <mergeCell ref="J1696:L1696"/>
    <mergeCell ref="B1697:D1697"/>
    <mergeCell ref="G1697:H1697"/>
    <mergeCell ref="K1697:L1697"/>
    <mergeCell ref="B1688:D1688"/>
    <mergeCell ref="B1689:D1689"/>
    <mergeCell ref="B1690:D1690"/>
    <mergeCell ref="F1691:F1692"/>
    <mergeCell ref="G1691:J1691"/>
    <mergeCell ref="G1692:J1692"/>
    <mergeCell ref="B1684:D1684"/>
    <mergeCell ref="G1684:H1684"/>
    <mergeCell ref="K1684:L1684"/>
    <mergeCell ref="B1685:D1685"/>
    <mergeCell ref="B1686:D1686"/>
    <mergeCell ref="B1687:D1687"/>
    <mergeCell ref="F1678:F1679"/>
    <mergeCell ref="G1678:J1678"/>
    <mergeCell ref="G1679:J1679"/>
    <mergeCell ref="A1682:L1682"/>
    <mergeCell ref="C1683:D1683"/>
    <mergeCell ref="J1683:L1683"/>
    <mergeCell ref="B1674:D1674"/>
    <mergeCell ref="G1674:H1674"/>
    <mergeCell ref="K1674:L1674"/>
    <mergeCell ref="B1675:D1675"/>
    <mergeCell ref="B1676:D1676"/>
    <mergeCell ref="B1677:D1677"/>
    <mergeCell ref="B1670:D1670"/>
    <mergeCell ref="B1671:D1671"/>
    <mergeCell ref="A1672:L1672"/>
    <mergeCell ref="C1673:D1673"/>
    <mergeCell ref="J1673:L1673"/>
    <mergeCell ref="B1667:D1667"/>
    <mergeCell ref="I1667:J1667"/>
    <mergeCell ref="B1668:D1668"/>
    <mergeCell ref="I1668:J1668"/>
    <mergeCell ref="B1669:D1669"/>
    <mergeCell ref="I1669:J1669"/>
    <mergeCell ref="B1665:D1665"/>
    <mergeCell ref="G1665:H1665"/>
    <mergeCell ref="I1665:J1665"/>
    <mergeCell ref="K1665:L1665"/>
    <mergeCell ref="B1666:D1666"/>
    <mergeCell ref="I1666:J1666"/>
    <mergeCell ref="B1661:D1661"/>
    <mergeCell ref="I1661:J1661"/>
    <mergeCell ref="B1662:D1662"/>
    <mergeCell ref="A1663:L1663"/>
    <mergeCell ref="C1664:D1664"/>
    <mergeCell ref="J1664:L1664"/>
    <mergeCell ref="G1654:J1654"/>
    <mergeCell ref="G1655:J1655"/>
    <mergeCell ref="A1658:L1658"/>
    <mergeCell ref="C1659:D1659"/>
    <mergeCell ref="J1659:L1659"/>
    <mergeCell ref="B1660:D1660"/>
    <mergeCell ref="G1660:H1660"/>
    <mergeCell ref="I1660:J1660"/>
    <mergeCell ref="K1660:L1660"/>
    <mergeCell ref="B1649:D1649"/>
    <mergeCell ref="B1650:D1650"/>
    <mergeCell ref="B1651:D1651"/>
    <mergeCell ref="B1652:D1652"/>
    <mergeCell ref="B1653:D1653"/>
    <mergeCell ref="F1654:F1655"/>
    <mergeCell ref="B1644:D1644"/>
    <mergeCell ref="B1645:D1645"/>
    <mergeCell ref="A1646:L1646"/>
    <mergeCell ref="C1647:D1647"/>
    <mergeCell ref="J1647:L1647"/>
    <mergeCell ref="B1648:D1648"/>
    <mergeCell ref="G1648:H1648"/>
    <mergeCell ref="K1648:L1648"/>
    <mergeCell ref="B1638:D1638"/>
    <mergeCell ref="B1639:D1639"/>
    <mergeCell ref="B1640:D1640"/>
    <mergeCell ref="B1641:D1641"/>
    <mergeCell ref="F1642:F1643"/>
    <mergeCell ref="G1642:J1642"/>
    <mergeCell ref="G1643:J1643"/>
    <mergeCell ref="B1634:D1634"/>
    <mergeCell ref="G1634:H1634"/>
    <mergeCell ref="K1634:L1634"/>
    <mergeCell ref="B1635:D1635"/>
    <mergeCell ref="B1636:D1636"/>
    <mergeCell ref="B1637:D1637"/>
    <mergeCell ref="F1628:F1629"/>
    <mergeCell ref="G1628:J1628"/>
    <mergeCell ref="G1629:J1629"/>
    <mergeCell ref="A1632:L1632"/>
    <mergeCell ref="C1633:D1633"/>
    <mergeCell ref="J1633:L1633"/>
    <mergeCell ref="B1623:D1623"/>
    <mergeCell ref="B1624:D1624"/>
    <mergeCell ref="B1625:D1625"/>
    <mergeCell ref="B1626:D1626"/>
    <mergeCell ref="B1627:D1627"/>
    <mergeCell ref="A1620:L1620"/>
    <mergeCell ref="C1621:D1621"/>
    <mergeCell ref="J1621:L1621"/>
    <mergeCell ref="B1622:D1622"/>
    <mergeCell ref="G1622:H1622"/>
    <mergeCell ref="K1622:L1622"/>
    <mergeCell ref="B1631:D1631"/>
    <mergeCell ref="B1615:D1615"/>
    <mergeCell ref="F1616:F1617"/>
    <mergeCell ref="G1616:J1616"/>
    <mergeCell ref="G1617:J1617"/>
    <mergeCell ref="B1609:D1609"/>
    <mergeCell ref="B1610:D1610"/>
    <mergeCell ref="B1611:D1611"/>
    <mergeCell ref="B1612:D1612"/>
    <mergeCell ref="B1613:D1613"/>
    <mergeCell ref="B1614:D1614"/>
    <mergeCell ref="B1605:D1605"/>
    <mergeCell ref="A1606:L1606"/>
    <mergeCell ref="C1607:D1607"/>
    <mergeCell ref="J1607:L1607"/>
    <mergeCell ref="B1608:D1608"/>
    <mergeCell ref="G1608:H1608"/>
    <mergeCell ref="K1608:L1608"/>
    <mergeCell ref="B1599:D1599"/>
    <mergeCell ref="B1600:D1600"/>
    <mergeCell ref="B1601:D1601"/>
    <mergeCell ref="F1602:F1603"/>
    <mergeCell ref="G1602:J1602"/>
    <mergeCell ref="G1603:J1603"/>
    <mergeCell ref="B1594:E1594"/>
    <mergeCell ref="A1596:L1596"/>
    <mergeCell ref="C1597:D1597"/>
    <mergeCell ref="J1597:L1597"/>
    <mergeCell ref="B1598:D1598"/>
    <mergeCell ref="G1598:H1598"/>
    <mergeCell ref="K1598:L1598"/>
    <mergeCell ref="B1588:D1588"/>
    <mergeCell ref="B1589:D1589"/>
    <mergeCell ref="B1590:D1590"/>
    <mergeCell ref="B1591:D1591"/>
    <mergeCell ref="F1592:F1593"/>
    <mergeCell ref="G1592:J1592"/>
    <mergeCell ref="G1593:J1593"/>
    <mergeCell ref="B1583:D1583"/>
    <mergeCell ref="A1585:L1585"/>
    <mergeCell ref="C1586:D1586"/>
    <mergeCell ref="J1586:L1586"/>
    <mergeCell ref="B1587:D1587"/>
    <mergeCell ref="G1587:H1587"/>
    <mergeCell ref="K1587:L1587"/>
    <mergeCell ref="B1577:D1577"/>
    <mergeCell ref="B1578:D1578"/>
    <mergeCell ref="B1579:D1579"/>
    <mergeCell ref="B1580:D1580"/>
    <mergeCell ref="F1581:F1582"/>
    <mergeCell ref="G1581:J1581"/>
    <mergeCell ref="G1582:J1582"/>
    <mergeCell ref="A1574:L1574"/>
    <mergeCell ref="C1575:D1575"/>
    <mergeCell ref="J1575:L1575"/>
    <mergeCell ref="B1576:D1576"/>
    <mergeCell ref="G1576:H1576"/>
    <mergeCell ref="K1576:L1576"/>
    <mergeCell ref="B1566:D1566"/>
    <mergeCell ref="B1567:D1567"/>
    <mergeCell ref="B1568:D1568"/>
    <mergeCell ref="B1569:D1569"/>
    <mergeCell ref="F1570:F1571"/>
    <mergeCell ref="G1570:J1570"/>
    <mergeCell ref="G1571:J1571"/>
    <mergeCell ref="A1562:C1562"/>
    <mergeCell ref="D1562:L1562"/>
    <mergeCell ref="A1563:L1563"/>
    <mergeCell ref="C1564:D1564"/>
    <mergeCell ref="J1564:L1564"/>
    <mergeCell ref="B1565:D1565"/>
    <mergeCell ref="G1565:H1565"/>
    <mergeCell ref="K1565:L1565"/>
    <mergeCell ref="A1559:C1559"/>
    <mergeCell ref="D1559:L1559"/>
    <mergeCell ref="A1560:C1560"/>
    <mergeCell ref="D1560:L1560"/>
    <mergeCell ref="A1561:C1561"/>
    <mergeCell ref="D1561:L1561"/>
    <mergeCell ref="A1556:C1556"/>
    <mergeCell ref="D1556:L1556"/>
    <mergeCell ref="A1557:C1557"/>
    <mergeCell ref="D1557:L1557"/>
    <mergeCell ref="A1558:C1558"/>
    <mergeCell ref="D1558:L1558"/>
    <mergeCell ref="G1552:I1552"/>
    <mergeCell ref="A1553:L1553"/>
    <mergeCell ref="A1554:C1554"/>
    <mergeCell ref="D1554:L1554"/>
    <mergeCell ref="A1555:C1555"/>
    <mergeCell ref="D1555:L1555"/>
    <mergeCell ref="B1545:D1545"/>
    <mergeCell ref="B1546:D1546"/>
    <mergeCell ref="B1547:D1547"/>
    <mergeCell ref="B1548:D1548"/>
    <mergeCell ref="F1549:F1550"/>
    <mergeCell ref="G1549:J1549"/>
    <mergeCell ref="G1550:J1550"/>
    <mergeCell ref="B1539:D1539"/>
    <mergeCell ref="B1540:D1540"/>
    <mergeCell ref="B1541:D1541"/>
    <mergeCell ref="B1542:D1542"/>
    <mergeCell ref="B1543:D1543"/>
    <mergeCell ref="B1544:D1544"/>
    <mergeCell ref="A1536:L1536"/>
    <mergeCell ref="C1537:D1537"/>
    <mergeCell ref="J1537:L1537"/>
    <mergeCell ref="B1538:D1538"/>
    <mergeCell ref="G1538:H1538"/>
    <mergeCell ref="K1538:L1538"/>
    <mergeCell ref="B1529:D1529"/>
    <mergeCell ref="B1530:D1530"/>
    <mergeCell ref="B1531:D1531"/>
    <mergeCell ref="F1532:F1533"/>
    <mergeCell ref="G1532:J1532"/>
    <mergeCell ref="G1533:J1533"/>
    <mergeCell ref="A1526:L1526"/>
    <mergeCell ref="C1527:D1527"/>
    <mergeCell ref="J1527:L1527"/>
    <mergeCell ref="B1528:D1528"/>
    <mergeCell ref="G1528:H1528"/>
    <mergeCell ref="K1528:L1528"/>
    <mergeCell ref="A1523:C1523"/>
    <mergeCell ref="D1523:L1523"/>
    <mergeCell ref="A1524:C1524"/>
    <mergeCell ref="D1524:L1524"/>
    <mergeCell ref="A1525:C1525"/>
    <mergeCell ref="D1525:L1525"/>
    <mergeCell ref="A1520:C1520"/>
    <mergeCell ref="D1520:L1520"/>
    <mergeCell ref="A1521:C1521"/>
    <mergeCell ref="D1521:L1521"/>
    <mergeCell ref="A1522:C1522"/>
    <mergeCell ref="D1522:L1522"/>
    <mergeCell ref="A1516:L1516"/>
    <mergeCell ref="A1517:C1517"/>
    <mergeCell ref="D1517:L1517"/>
    <mergeCell ref="A1518:C1518"/>
    <mergeCell ref="D1518:L1518"/>
    <mergeCell ref="A1519:C1519"/>
    <mergeCell ref="D1519:L1519"/>
    <mergeCell ref="B1507:D1507"/>
    <mergeCell ref="B1508:D1508"/>
    <mergeCell ref="B1509:D1509"/>
    <mergeCell ref="B1510:D1510"/>
    <mergeCell ref="F1512:F1513"/>
    <mergeCell ref="G1512:J1512"/>
    <mergeCell ref="G1513:J1513"/>
    <mergeCell ref="B1503:D1503"/>
    <mergeCell ref="A1504:L1504"/>
    <mergeCell ref="C1505:D1505"/>
    <mergeCell ref="J1505:L1505"/>
    <mergeCell ref="K1506:L1506"/>
    <mergeCell ref="B1501:D1501"/>
    <mergeCell ref="G1501:H1501"/>
    <mergeCell ref="I1501:J1501"/>
    <mergeCell ref="K1501:L1501"/>
    <mergeCell ref="B1502:D1502"/>
    <mergeCell ref="I1502:J1502"/>
    <mergeCell ref="B1498:D1498"/>
    <mergeCell ref="E1498:H1498"/>
    <mergeCell ref="A1499:L1499"/>
    <mergeCell ref="C1500:D1500"/>
    <mergeCell ref="J1500:L1500"/>
    <mergeCell ref="B1496:D1496"/>
    <mergeCell ref="G1496:H1496"/>
    <mergeCell ref="I1496:J1496"/>
    <mergeCell ref="K1496:L1496"/>
    <mergeCell ref="B1497:D1497"/>
    <mergeCell ref="G1497:H1497"/>
    <mergeCell ref="I1497:J1497"/>
    <mergeCell ref="B1492:D1492"/>
    <mergeCell ref="I1492:J1492"/>
    <mergeCell ref="B1493:D1493"/>
    <mergeCell ref="E1493:H1493"/>
    <mergeCell ref="A1494:L1494"/>
    <mergeCell ref="C1495:D1495"/>
    <mergeCell ref="J1495:L1495"/>
    <mergeCell ref="A1489:L1489"/>
    <mergeCell ref="C1490:D1490"/>
    <mergeCell ref="J1490:L1490"/>
    <mergeCell ref="B1491:D1491"/>
    <mergeCell ref="I1491:J1491"/>
    <mergeCell ref="K1491:L1491"/>
    <mergeCell ref="B1486:D1486"/>
    <mergeCell ref="I1486:J1486"/>
    <mergeCell ref="K1486:L1486"/>
    <mergeCell ref="B1487:D1487"/>
    <mergeCell ref="I1487:J1487"/>
    <mergeCell ref="B1488:D1488"/>
    <mergeCell ref="E1488:H1488"/>
    <mergeCell ref="B1482:D1482"/>
    <mergeCell ref="I1482:J1482"/>
    <mergeCell ref="B1483:D1483"/>
    <mergeCell ref="E1483:H1483"/>
    <mergeCell ref="A1484:L1484"/>
    <mergeCell ref="C1485:D1485"/>
    <mergeCell ref="J1485:L1485"/>
    <mergeCell ref="A1479:L1479"/>
    <mergeCell ref="C1480:D1480"/>
    <mergeCell ref="J1480:L1480"/>
    <mergeCell ref="B1481:D1481"/>
    <mergeCell ref="I1481:J1481"/>
    <mergeCell ref="K1481:L1481"/>
    <mergeCell ref="B1473:D1473"/>
    <mergeCell ref="G1473:H1473"/>
    <mergeCell ref="K1473:L1473"/>
    <mergeCell ref="B1474:D1474"/>
    <mergeCell ref="B1475:D1475"/>
    <mergeCell ref="F1475:F1476"/>
    <mergeCell ref="G1475:J1475"/>
    <mergeCell ref="G1476:J1476"/>
    <mergeCell ref="B1469:D1469"/>
    <mergeCell ref="I1469:J1469"/>
    <mergeCell ref="B1470:D1470"/>
    <mergeCell ref="A1471:L1471"/>
    <mergeCell ref="C1472:D1472"/>
    <mergeCell ref="J1472:L1472"/>
    <mergeCell ref="B1465:D1465"/>
    <mergeCell ref="A1466:L1466"/>
    <mergeCell ref="C1467:D1467"/>
    <mergeCell ref="J1467:L1467"/>
    <mergeCell ref="B1468:D1468"/>
    <mergeCell ref="G1468:H1468"/>
    <mergeCell ref="I1468:J1468"/>
    <mergeCell ref="K1468:L1468"/>
    <mergeCell ref="B1463:D1463"/>
    <mergeCell ref="G1463:H1463"/>
    <mergeCell ref="I1463:J1463"/>
    <mergeCell ref="K1463:L1463"/>
    <mergeCell ref="B1464:D1464"/>
    <mergeCell ref="I1464:J1464"/>
    <mergeCell ref="F1457:F1458"/>
    <mergeCell ref="G1457:J1457"/>
    <mergeCell ref="G1458:J1458"/>
    <mergeCell ref="A1461:L1461"/>
    <mergeCell ref="C1462:D1462"/>
    <mergeCell ref="J1462:L1462"/>
    <mergeCell ref="B1451:D1451"/>
    <mergeCell ref="B1452:D1452"/>
    <mergeCell ref="B1453:D1453"/>
    <mergeCell ref="B1454:D1454"/>
    <mergeCell ref="B1455:D1455"/>
    <mergeCell ref="B1456:D1456"/>
    <mergeCell ref="A1448:L1448"/>
    <mergeCell ref="C1449:D1449"/>
    <mergeCell ref="J1449:L1449"/>
    <mergeCell ref="B1450:D1450"/>
    <mergeCell ref="G1450:H1450"/>
    <mergeCell ref="K1450:L1450"/>
    <mergeCell ref="A1445:C1445"/>
    <mergeCell ref="D1445:L1445"/>
    <mergeCell ref="A1446:C1446"/>
    <mergeCell ref="D1446:L1446"/>
    <mergeCell ref="A1447:C1447"/>
    <mergeCell ref="D1447:L1447"/>
    <mergeCell ref="A1442:C1442"/>
    <mergeCell ref="D1442:L1442"/>
    <mergeCell ref="A1443:C1443"/>
    <mergeCell ref="D1443:L1443"/>
    <mergeCell ref="A1444:C1444"/>
    <mergeCell ref="D1444:L1444"/>
    <mergeCell ref="A1438:L1438"/>
    <mergeCell ref="A1439:C1439"/>
    <mergeCell ref="D1439:L1439"/>
    <mergeCell ref="A1440:C1440"/>
    <mergeCell ref="D1440:L1440"/>
    <mergeCell ref="A1441:C1441"/>
    <mergeCell ref="D1441:L1441"/>
    <mergeCell ref="B1430:D1430"/>
    <mergeCell ref="B1431:D1431"/>
    <mergeCell ref="B1432:D1432"/>
    <mergeCell ref="B1433:D1433"/>
    <mergeCell ref="F1434:F1435"/>
    <mergeCell ref="G1434:J1434"/>
    <mergeCell ref="G1435:J1435"/>
    <mergeCell ref="B1426:D1426"/>
    <mergeCell ref="G1426:H1426"/>
    <mergeCell ref="K1426:L1426"/>
    <mergeCell ref="B1427:D1427"/>
    <mergeCell ref="B1428:D1428"/>
    <mergeCell ref="B1429:D1429"/>
    <mergeCell ref="B1419:D1419"/>
    <mergeCell ref="F1420:F1421"/>
    <mergeCell ref="G1420:J1420"/>
    <mergeCell ref="G1421:J1421"/>
    <mergeCell ref="A1424:L1424"/>
    <mergeCell ref="C1425:D1425"/>
    <mergeCell ref="J1425:L1425"/>
    <mergeCell ref="B1413:D1413"/>
    <mergeCell ref="B1414:D1414"/>
    <mergeCell ref="B1415:D1415"/>
    <mergeCell ref="B1416:D1416"/>
    <mergeCell ref="B1417:D1417"/>
    <mergeCell ref="B1418:D1418"/>
    <mergeCell ref="G1406:J1406"/>
    <mergeCell ref="G1407:J1407"/>
    <mergeCell ref="A1410:L1410"/>
    <mergeCell ref="C1411:D1411"/>
    <mergeCell ref="J1411:L1411"/>
    <mergeCell ref="B1412:D1412"/>
    <mergeCell ref="G1412:H1412"/>
    <mergeCell ref="K1412:L1412"/>
    <mergeCell ref="B1402:D1402"/>
    <mergeCell ref="B1403:D1403"/>
    <mergeCell ref="B1404:D1404"/>
    <mergeCell ref="B1405:D1405"/>
    <mergeCell ref="B1406:D1406"/>
    <mergeCell ref="F1406:F1407"/>
    <mergeCell ref="A1398:C1398"/>
    <mergeCell ref="D1398:L1398"/>
    <mergeCell ref="A1399:L1399"/>
    <mergeCell ref="C1400:D1400"/>
    <mergeCell ref="J1400:L1400"/>
    <mergeCell ref="B1401:D1401"/>
    <mergeCell ref="G1401:H1401"/>
    <mergeCell ref="K1401:L1401"/>
    <mergeCell ref="A1395:C1395"/>
    <mergeCell ref="D1395:L1395"/>
    <mergeCell ref="A1396:C1396"/>
    <mergeCell ref="D1396:L1396"/>
    <mergeCell ref="A1397:C1397"/>
    <mergeCell ref="D1397:L1397"/>
    <mergeCell ref="A1392:C1392"/>
    <mergeCell ref="D1392:L1392"/>
    <mergeCell ref="A1393:C1393"/>
    <mergeCell ref="D1393:L1393"/>
    <mergeCell ref="A1394:C1394"/>
    <mergeCell ref="D1394:L1394"/>
    <mergeCell ref="G1388:I1388"/>
    <mergeCell ref="A1389:L1389"/>
    <mergeCell ref="A1390:C1390"/>
    <mergeCell ref="D1390:L1390"/>
    <mergeCell ref="A1391:C1391"/>
    <mergeCell ref="D1391:L1391"/>
    <mergeCell ref="B1382:D1382"/>
    <mergeCell ref="B1383:D1383"/>
    <mergeCell ref="B1384:D1384"/>
    <mergeCell ref="F1386:F1387"/>
    <mergeCell ref="G1386:J1386"/>
    <mergeCell ref="G1387:J1387"/>
    <mergeCell ref="B1376:D1376"/>
    <mergeCell ref="B1377:D1377"/>
    <mergeCell ref="B1378:D1378"/>
    <mergeCell ref="B1379:D1379"/>
    <mergeCell ref="B1380:D1380"/>
    <mergeCell ref="B1381:D1381"/>
    <mergeCell ref="A1372:L1372"/>
    <mergeCell ref="C1373:D1373"/>
    <mergeCell ref="J1373:L1373"/>
    <mergeCell ref="B1374:D1374"/>
    <mergeCell ref="K1374:L1374"/>
    <mergeCell ref="B1375:D1375"/>
    <mergeCell ref="B1369:D1369"/>
    <mergeCell ref="I1369:J1369"/>
    <mergeCell ref="K1369:L1369"/>
    <mergeCell ref="B1370:D1370"/>
    <mergeCell ref="I1370:J1370"/>
    <mergeCell ref="B1371:D1371"/>
    <mergeCell ref="E1371:H1371"/>
    <mergeCell ref="B1365:D1365"/>
    <mergeCell ref="I1365:J1365"/>
    <mergeCell ref="B1366:D1366"/>
    <mergeCell ref="A1367:L1367"/>
    <mergeCell ref="C1368:D1368"/>
    <mergeCell ref="J1368:L1368"/>
    <mergeCell ref="B1363:D1363"/>
    <mergeCell ref="G1363:H1363"/>
    <mergeCell ref="I1363:J1363"/>
    <mergeCell ref="K1363:L1363"/>
    <mergeCell ref="B1364:D1364"/>
    <mergeCell ref="I1364:J1364"/>
    <mergeCell ref="B1359:D1359"/>
    <mergeCell ref="I1359:J1359"/>
    <mergeCell ref="B1360:D1360"/>
    <mergeCell ref="A1361:L1361"/>
    <mergeCell ref="C1362:D1362"/>
    <mergeCell ref="J1362:L1362"/>
    <mergeCell ref="B1357:D1357"/>
    <mergeCell ref="I1357:J1357"/>
    <mergeCell ref="K1357:L1357"/>
    <mergeCell ref="B1358:D1358"/>
    <mergeCell ref="I1358:J1358"/>
    <mergeCell ref="B1353:D1353"/>
    <mergeCell ref="I1353:J1353"/>
    <mergeCell ref="B1354:D1354"/>
    <mergeCell ref="E1354:H1354"/>
    <mergeCell ref="A1355:L1355"/>
    <mergeCell ref="C1356:D1356"/>
    <mergeCell ref="J1356:L1356"/>
    <mergeCell ref="A1350:L1350"/>
    <mergeCell ref="C1351:D1351"/>
    <mergeCell ref="J1351:L1351"/>
    <mergeCell ref="B1352:D1352"/>
    <mergeCell ref="I1352:J1352"/>
    <mergeCell ref="K1352:L1352"/>
    <mergeCell ref="B1347:D1347"/>
    <mergeCell ref="I1347:J1347"/>
    <mergeCell ref="K1347:L1347"/>
    <mergeCell ref="B1348:D1348"/>
    <mergeCell ref="I1348:J1348"/>
    <mergeCell ref="B1349:D1349"/>
    <mergeCell ref="E1349:H1349"/>
    <mergeCell ref="B1343:D1343"/>
    <mergeCell ref="I1343:J1343"/>
    <mergeCell ref="B1344:D1344"/>
    <mergeCell ref="E1344:H1344"/>
    <mergeCell ref="A1345:L1345"/>
    <mergeCell ref="C1346:D1346"/>
    <mergeCell ref="J1346:L1346"/>
    <mergeCell ref="A1340:L1340"/>
    <mergeCell ref="C1341:D1341"/>
    <mergeCell ref="J1341:L1341"/>
    <mergeCell ref="B1342:D1342"/>
    <mergeCell ref="I1342:J1342"/>
    <mergeCell ref="K1342:L1342"/>
    <mergeCell ref="B1337:D1337"/>
    <mergeCell ref="I1337:J1337"/>
    <mergeCell ref="K1337:L1337"/>
    <mergeCell ref="B1338:D1338"/>
    <mergeCell ref="I1338:J1338"/>
    <mergeCell ref="B1339:D1339"/>
    <mergeCell ref="E1339:H1339"/>
    <mergeCell ref="B1333:D1333"/>
    <mergeCell ref="I1333:J1333"/>
    <mergeCell ref="B1334:D1334"/>
    <mergeCell ref="A1335:L1335"/>
    <mergeCell ref="C1336:D1336"/>
    <mergeCell ref="J1336:L1336"/>
    <mergeCell ref="A1329:C1329"/>
    <mergeCell ref="D1329:L1329"/>
    <mergeCell ref="A1330:L1330"/>
    <mergeCell ref="C1331:D1331"/>
    <mergeCell ref="J1331:L1331"/>
    <mergeCell ref="B1332:D1332"/>
    <mergeCell ref="I1332:J1332"/>
    <mergeCell ref="K1332:L1332"/>
    <mergeCell ref="A1326:C1326"/>
    <mergeCell ref="D1326:L1326"/>
    <mergeCell ref="A1327:C1327"/>
    <mergeCell ref="D1327:L1327"/>
    <mergeCell ref="A1328:C1328"/>
    <mergeCell ref="D1328:L1328"/>
    <mergeCell ref="A1323:C1323"/>
    <mergeCell ref="D1323:L1323"/>
    <mergeCell ref="A1324:C1324"/>
    <mergeCell ref="D1324:L1324"/>
    <mergeCell ref="A1325:C1325"/>
    <mergeCell ref="D1325:L1325"/>
    <mergeCell ref="B1318:D1318"/>
    <mergeCell ref="A1320:L1320"/>
    <mergeCell ref="A1321:C1321"/>
    <mergeCell ref="D1321:L1321"/>
    <mergeCell ref="A1322:C1322"/>
    <mergeCell ref="D1322:L1322"/>
    <mergeCell ref="B1311:D1311"/>
    <mergeCell ref="B1312:D1312"/>
    <mergeCell ref="B1313:D1313"/>
    <mergeCell ref="B1314:D1314"/>
    <mergeCell ref="F1316:F1317"/>
    <mergeCell ref="G1316:J1316"/>
    <mergeCell ref="G1317:J1317"/>
    <mergeCell ref="B1307:D1307"/>
    <mergeCell ref="E1307:H1307"/>
    <mergeCell ref="A1308:L1308"/>
    <mergeCell ref="J1309:L1309"/>
    <mergeCell ref="G1310:H1310"/>
    <mergeCell ref="K1310:L1310"/>
    <mergeCell ref="C1304:D1304"/>
    <mergeCell ref="J1304:L1304"/>
    <mergeCell ref="B1305:D1305"/>
    <mergeCell ref="I1305:J1305"/>
    <mergeCell ref="K1305:L1305"/>
    <mergeCell ref="B1306:D1306"/>
    <mergeCell ref="I1306:J1306"/>
    <mergeCell ref="B1297:D1297"/>
    <mergeCell ref="I1297:J1297"/>
    <mergeCell ref="B1298:D1298"/>
    <mergeCell ref="G1299:I1299"/>
    <mergeCell ref="A1300:L1302"/>
    <mergeCell ref="A1303:L1303"/>
    <mergeCell ref="C1309:D1309"/>
    <mergeCell ref="A1294:L1294"/>
    <mergeCell ref="C1295:D1295"/>
    <mergeCell ref="J1295:L1295"/>
    <mergeCell ref="B1296:D1296"/>
    <mergeCell ref="I1296:J1296"/>
    <mergeCell ref="K1296:L1296"/>
    <mergeCell ref="A1291:C1291"/>
    <mergeCell ref="D1291:L1291"/>
    <mergeCell ref="A1292:C1292"/>
    <mergeCell ref="D1292:L1292"/>
    <mergeCell ref="A1293:C1293"/>
    <mergeCell ref="D1293:L1293"/>
    <mergeCell ref="A1288:C1288"/>
    <mergeCell ref="D1288:L1288"/>
    <mergeCell ref="A1289:C1289"/>
    <mergeCell ref="D1289:L1289"/>
    <mergeCell ref="A1290:C1290"/>
    <mergeCell ref="D1290:L1290"/>
    <mergeCell ref="A1284:L1284"/>
    <mergeCell ref="A1285:C1285"/>
    <mergeCell ref="D1285:L1285"/>
    <mergeCell ref="A1286:C1286"/>
    <mergeCell ref="D1286:L1286"/>
    <mergeCell ref="A1287:C1287"/>
    <mergeCell ref="D1287:L1287"/>
    <mergeCell ref="B1277:D1277"/>
    <mergeCell ref="B1278:D1278"/>
    <mergeCell ref="B1279:D1279"/>
    <mergeCell ref="F1280:F1281"/>
    <mergeCell ref="G1280:J1280"/>
    <mergeCell ref="G1281:J1281"/>
    <mergeCell ref="B1271:D1271"/>
    <mergeCell ref="B1272:D1272"/>
    <mergeCell ref="B1273:D1273"/>
    <mergeCell ref="B1274:D1274"/>
    <mergeCell ref="B1275:D1275"/>
    <mergeCell ref="B1276:D1276"/>
    <mergeCell ref="B1267:D1267"/>
    <mergeCell ref="G1267:H1267"/>
    <mergeCell ref="K1267:L1267"/>
    <mergeCell ref="B1268:D1268"/>
    <mergeCell ref="B1269:D1269"/>
    <mergeCell ref="B1270:D1270"/>
    <mergeCell ref="F1261:F1262"/>
    <mergeCell ref="G1261:J1261"/>
    <mergeCell ref="G1262:J1262"/>
    <mergeCell ref="A1265:L1265"/>
    <mergeCell ref="C1266:D1266"/>
    <mergeCell ref="J1266:L1266"/>
    <mergeCell ref="B1255:D1255"/>
    <mergeCell ref="B1256:D1256"/>
    <mergeCell ref="B1257:D1257"/>
    <mergeCell ref="B1258:D1258"/>
    <mergeCell ref="B1259:D1259"/>
    <mergeCell ref="B1260:D1260"/>
    <mergeCell ref="B1249:D1249"/>
    <mergeCell ref="B1250:D1250"/>
    <mergeCell ref="B1251:D1251"/>
    <mergeCell ref="B1252:D1252"/>
    <mergeCell ref="B1253:D1253"/>
    <mergeCell ref="B1254:D1254"/>
    <mergeCell ref="B1245:D1245"/>
    <mergeCell ref="A1246:L1246"/>
    <mergeCell ref="C1247:D1247"/>
    <mergeCell ref="J1247:L1247"/>
    <mergeCell ref="B1248:D1248"/>
    <mergeCell ref="G1248:H1248"/>
    <mergeCell ref="K1248:L1248"/>
    <mergeCell ref="B1237:D1237"/>
    <mergeCell ref="B1238:D1238"/>
    <mergeCell ref="B1239:D1239"/>
    <mergeCell ref="B1240:D1240"/>
    <mergeCell ref="F1242:F1243"/>
    <mergeCell ref="G1242:J1242"/>
    <mergeCell ref="G1243:J1243"/>
    <mergeCell ref="A1233:C1233"/>
    <mergeCell ref="D1233:L1233"/>
    <mergeCell ref="A1234:L1234"/>
    <mergeCell ref="C1235:D1235"/>
    <mergeCell ref="J1235:L1235"/>
    <mergeCell ref="B1236:D1236"/>
    <mergeCell ref="G1236:H1236"/>
    <mergeCell ref="K1236:L1236"/>
    <mergeCell ref="A1230:C1230"/>
    <mergeCell ref="D1230:L1230"/>
    <mergeCell ref="A1231:C1231"/>
    <mergeCell ref="D1231:L1231"/>
    <mergeCell ref="A1232:C1232"/>
    <mergeCell ref="D1232:L1232"/>
    <mergeCell ref="A1227:C1227"/>
    <mergeCell ref="D1227:L1227"/>
    <mergeCell ref="A1228:C1228"/>
    <mergeCell ref="D1228:L1228"/>
    <mergeCell ref="A1229:C1229"/>
    <mergeCell ref="D1229:L1229"/>
    <mergeCell ref="F1223:I1223"/>
    <mergeCell ref="A1224:L1224"/>
    <mergeCell ref="A1225:C1225"/>
    <mergeCell ref="D1225:L1225"/>
    <mergeCell ref="A1226:C1226"/>
    <mergeCell ref="D1226:L1226"/>
    <mergeCell ref="B1217:D1217"/>
    <mergeCell ref="B1218:D1218"/>
    <mergeCell ref="B1219:D1219"/>
    <mergeCell ref="F1220:F1221"/>
    <mergeCell ref="G1220:J1220"/>
    <mergeCell ref="G1221:J1221"/>
    <mergeCell ref="B1211:D1211"/>
    <mergeCell ref="B1212:D1212"/>
    <mergeCell ref="B1213:D1213"/>
    <mergeCell ref="B1214:D1214"/>
    <mergeCell ref="B1215:D1215"/>
    <mergeCell ref="B1216:D1216"/>
    <mergeCell ref="B1207:D1207"/>
    <mergeCell ref="G1207:H1207"/>
    <mergeCell ref="K1207:L1207"/>
    <mergeCell ref="B1208:D1208"/>
    <mergeCell ref="B1209:D1209"/>
    <mergeCell ref="B1210:D1210"/>
    <mergeCell ref="A1203:C1203"/>
    <mergeCell ref="D1203:L1203"/>
    <mergeCell ref="A1204:C1204"/>
    <mergeCell ref="D1204:L1204"/>
    <mergeCell ref="A1205:L1205"/>
    <mergeCell ref="C1206:D1206"/>
    <mergeCell ref="J1206:L1206"/>
    <mergeCell ref="A1200:C1200"/>
    <mergeCell ref="D1200:L1200"/>
    <mergeCell ref="A1201:C1201"/>
    <mergeCell ref="D1201:L1201"/>
    <mergeCell ref="A1202:C1202"/>
    <mergeCell ref="D1202:L1202"/>
    <mergeCell ref="A1197:C1197"/>
    <mergeCell ref="D1197:L1197"/>
    <mergeCell ref="A1198:C1198"/>
    <mergeCell ref="D1198:L1198"/>
    <mergeCell ref="A1199:C1199"/>
    <mergeCell ref="D1199:L1199"/>
    <mergeCell ref="B1190:D1190"/>
    <mergeCell ref="F1191:F1192"/>
    <mergeCell ref="G1191:J1191"/>
    <mergeCell ref="G1192:J1192"/>
    <mergeCell ref="A1195:L1195"/>
    <mergeCell ref="A1196:C1196"/>
    <mergeCell ref="D1196:L1196"/>
    <mergeCell ref="B1184:D1184"/>
    <mergeCell ref="B1185:D1185"/>
    <mergeCell ref="B1186:D1186"/>
    <mergeCell ref="B1187:D1187"/>
    <mergeCell ref="B1188:D1188"/>
    <mergeCell ref="B1189:D1189"/>
    <mergeCell ref="B1179:D1179"/>
    <mergeCell ref="B1180:D1180"/>
    <mergeCell ref="B1181:D1181"/>
    <mergeCell ref="B1182:D1182"/>
    <mergeCell ref="B1183:D1183"/>
    <mergeCell ref="B1174:D1174"/>
    <mergeCell ref="I1174:J1174"/>
    <mergeCell ref="A1176:L1176"/>
    <mergeCell ref="C1177:D1177"/>
    <mergeCell ref="B1178:D1178"/>
    <mergeCell ref="G1178:H1178"/>
    <mergeCell ref="K1178:L1178"/>
    <mergeCell ref="A1171:L1171"/>
    <mergeCell ref="C1172:D1172"/>
    <mergeCell ref="J1172:L1172"/>
    <mergeCell ref="B1173:D1173"/>
    <mergeCell ref="G1173:H1173"/>
    <mergeCell ref="I1173:J1173"/>
    <mergeCell ref="K1173:L1173"/>
    <mergeCell ref="B1175:D1175"/>
    <mergeCell ref="B1168:D1168"/>
    <mergeCell ref="G1168:H1168"/>
    <mergeCell ref="I1168:J1168"/>
    <mergeCell ref="K1168:L1168"/>
    <mergeCell ref="B1169:D1169"/>
    <mergeCell ref="I1169:J1169"/>
    <mergeCell ref="B1164:D1164"/>
    <mergeCell ref="I1164:J1164"/>
    <mergeCell ref="B1165:D1165"/>
    <mergeCell ref="E1165:H1165"/>
    <mergeCell ref="A1166:L1166"/>
    <mergeCell ref="C1167:D1167"/>
    <mergeCell ref="J1167:L1167"/>
    <mergeCell ref="B1160:D1160"/>
    <mergeCell ref="E1160:H1160"/>
    <mergeCell ref="A1161:L1161"/>
    <mergeCell ref="C1162:D1162"/>
    <mergeCell ref="J1162:L1162"/>
    <mergeCell ref="B1163:D1163"/>
    <mergeCell ref="I1163:J1163"/>
    <mergeCell ref="K1163:L1163"/>
    <mergeCell ref="B1158:D1158"/>
    <mergeCell ref="G1158:H1158"/>
    <mergeCell ref="I1158:J1158"/>
    <mergeCell ref="K1158:L1158"/>
    <mergeCell ref="B1159:D1159"/>
    <mergeCell ref="I1159:J1159"/>
    <mergeCell ref="B1154:D1154"/>
    <mergeCell ref="I1154:J1154"/>
    <mergeCell ref="B1155:D1155"/>
    <mergeCell ref="E1155:H1155"/>
    <mergeCell ref="A1156:L1156"/>
    <mergeCell ref="C1157:D1157"/>
    <mergeCell ref="J1157:L1157"/>
    <mergeCell ref="A1151:L1151"/>
    <mergeCell ref="C1152:D1152"/>
    <mergeCell ref="J1152:L1152"/>
    <mergeCell ref="B1153:D1153"/>
    <mergeCell ref="I1153:J1153"/>
    <mergeCell ref="K1153:L1153"/>
    <mergeCell ref="A1148:C1148"/>
    <mergeCell ref="D1148:L1148"/>
    <mergeCell ref="A1149:C1149"/>
    <mergeCell ref="D1149:L1149"/>
    <mergeCell ref="A1150:C1150"/>
    <mergeCell ref="D1150:L1150"/>
    <mergeCell ref="A1145:C1145"/>
    <mergeCell ref="D1145:L1145"/>
    <mergeCell ref="A1146:C1146"/>
    <mergeCell ref="D1146:L1146"/>
    <mergeCell ref="A1147:C1147"/>
    <mergeCell ref="D1147:L1147"/>
    <mergeCell ref="A1142:C1142"/>
    <mergeCell ref="D1142:L1142"/>
    <mergeCell ref="A1143:C1143"/>
    <mergeCell ref="D1143:L1143"/>
    <mergeCell ref="A1144:C1144"/>
    <mergeCell ref="D1144:L1144"/>
    <mergeCell ref="B1136:D1136"/>
    <mergeCell ref="F1137:F1138"/>
    <mergeCell ref="G1137:J1137"/>
    <mergeCell ref="G1138:J1138"/>
    <mergeCell ref="G1140:I1140"/>
    <mergeCell ref="A1141:L1141"/>
    <mergeCell ref="B1130:D1130"/>
    <mergeCell ref="I1131:J1131"/>
    <mergeCell ref="B1132:D1132"/>
    <mergeCell ref="B1133:D1133"/>
    <mergeCell ref="B1134:D1134"/>
    <mergeCell ref="B1135:D1135"/>
    <mergeCell ref="B1127:D1127"/>
    <mergeCell ref="G1127:H1127"/>
    <mergeCell ref="K1127:L1127"/>
    <mergeCell ref="B1128:D1128"/>
    <mergeCell ref="B1129:D1129"/>
    <mergeCell ref="B1123:D1123"/>
    <mergeCell ref="I1123:J1123"/>
    <mergeCell ref="B1124:D1124"/>
    <mergeCell ref="E1124:H1124"/>
    <mergeCell ref="A1125:L1125"/>
    <mergeCell ref="C1126:D1126"/>
    <mergeCell ref="J1126:L1126"/>
    <mergeCell ref="A1120:L1120"/>
    <mergeCell ref="C1121:D1121"/>
    <mergeCell ref="J1121:L1121"/>
    <mergeCell ref="B1122:D1122"/>
    <mergeCell ref="I1122:J1122"/>
    <mergeCell ref="K1122:L1122"/>
    <mergeCell ref="B1114:D1114"/>
    <mergeCell ref="B1115:D1115"/>
    <mergeCell ref="F1116:F1117"/>
    <mergeCell ref="G1116:J1116"/>
    <mergeCell ref="G1117:J1117"/>
    <mergeCell ref="B1118:D1119"/>
    <mergeCell ref="B1109:D1109"/>
    <mergeCell ref="B1110:D1110"/>
    <mergeCell ref="B1111:D1111"/>
    <mergeCell ref="B1112:D1112"/>
    <mergeCell ref="B1113:D1113"/>
    <mergeCell ref="B1103:D1103"/>
    <mergeCell ref="B1104:D1104"/>
    <mergeCell ref="A1106:L1106"/>
    <mergeCell ref="C1107:D1107"/>
    <mergeCell ref="J1107:L1107"/>
    <mergeCell ref="B1108:D1108"/>
    <mergeCell ref="G1108:H1108"/>
    <mergeCell ref="B1099:D1099"/>
    <mergeCell ref="G1099:H1099"/>
    <mergeCell ref="K1099:L1099"/>
    <mergeCell ref="B1100:D1100"/>
    <mergeCell ref="B1101:D1101"/>
    <mergeCell ref="B1102:D1102"/>
    <mergeCell ref="B1093:D1093"/>
    <mergeCell ref="B1094:D1094"/>
    <mergeCell ref="B1095:D1095"/>
    <mergeCell ref="A1097:L1097"/>
    <mergeCell ref="C1098:D1098"/>
    <mergeCell ref="J1098:L1098"/>
    <mergeCell ref="B1089:D1089"/>
    <mergeCell ref="G1089:H1089"/>
    <mergeCell ref="K1089:L1089"/>
    <mergeCell ref="B1090:D1090"/>
    <mergeCell ref="B1091:D1091"/>
    <mergeCell ref="B1092:D1092"/>
    <mergeCell ref="A1085:C1085"/>
    <mergeCell ref="D1085:L1085"/>
    <mergeCell ref="A1086:C1086"/>
    <mergeCell ref="D1086:L1086"/>
    <mergeCell ref="A1087:L1087"/>
    <mergeCell ref="C1088:D1088"/>
    <mergeCell ref="J1088:L1088"/>
    <mergeCell ref="A1082:C1082"/>
    <mergeCell ref="D1082:L1082"/>
    <mergeCell ref="A1083:C1083"/>
    <mergeCell ref="D1083:L1083"/>
    <mergeCell ref="A1084:C1084"/>
    <mergeCell ref="D1084:L1084"/>
    <mergeCell ref="A1079:C1079"/>
    <mergeCell ref="D1079:L1079"/>
    <mergeCell ref="A1080:C1080"/>
    <mergeCell ref="D1080:L1080"/>
    <mergeCell ref="A1081:C1081"/>
    <mergeCell ref="D1081:L1081"/>
    <mergeCell ref="B1072:D1072"/>
    <mergeCell ref="B1073:D1073"/>
    <mergeCell ref="B1074:D1074"/>
    <mergeCell ref="A1077:L1077"/>
    <mergeCell ref="A1078:C1078"/>
    <mergeCell ref="D1078:L1078"/>
    <mergeCell ref="B1066:D1066"/>
    <mergeCell ref="B1067:D1067"/>
    <mergeCell ref="B1068:D1068"/>
    <mergeCell ref="B1069:D1069"/>
    <mergeCell ref="B1070:D1070"/>
    <mergeCell ref="B1071:D1071"/>
    <mergeCell ref="B1061:D1061"/>
    <mergeCell ref="B1062:D1062"/>
    <mergeCell ref="B1063:D1063"/>
    <mergeCell ref="I1064:J1064"/>
    <mergeCell ref="B1065:D1065"/>
    <mergeCell ref="A1057:C1057"/>
    <mergeCell ref="D1057:L1057"/>
    <mergeCell ref="A1058:L1058"/>
    <mergeCell ref="C1059:D1059"/>
    <mergeCell ref="J1059:L1059"/>
    <mergeCell ref="B1060:D1060"/>
    <mergeCell ref="G1060:H1060"/>
    <mergeCell ref="K1060:L1060"/>
    <mergeCell ref="A1054:C1054"/>
    <mergeCell ref="D1054:L1054"/>
    <mergeCell ref="A1055:C1055"/>
    <mergeCell ref="D1055:L1055"/>
    <mergeCell ref="A1056:C1056"/>
    <mergeCell ref="D1056:L1056"/>
    <mergeCell ref="A1051:C1051"/>
    <mergeCell ref="D1051:L1051"/>
    <mergeCell ref="A1052:C1052"/>
    <mergeCell ref="D1052:L1052"/>
    <mergeCell ref="A1053:C1053"/>
    <mergeCell ref="D1053:L1053"/>
    <mergeCell ref="B1045:D1045"/>
    <mergeCell ref="A1048:L1048"/>
    <mergeCell ref="A1049:C1049"/>
    <mergeCell ref="D1049:L1049"/>
    <mergeCell ref="A1050:C1050"/>
    <mergeCell ref="D1050:L1050"/>
    <mergeCell ref="B1041:D1041"/>
    <mergeCell ref="G1041:H1041"/>
    <mergeCell ref="K1041:L1041"/>
    <mergeCell ref="B1042:D1042"/>
    <mergeCell ref="B1043:D1043"/>
    <mergeCell ref="B1044:D1044"/>
    <mergeCell ref="B1034:D1034"/>
    <mergeCell ref="B1035:D1035"/>
    <mergeCell ref="B1036:D1036"/>
    <mergeCell ref="B1037:D1037"/>
    <mergeCell ref="A1039:L1039"/>
    <mergeCell ref="C1040:D1040"/>
    <mergeCell ref="J1040:L1040"/>
    <mergeCell ref="A1031:L1031"/>
    <mergeCell ref="C1032:D1032"/>
    <mergeCell ref="J1032:L1032"/>
    <mergeCell ref="B1033:D1033"/>
    <mergeCell ref="G1033:H1033"/>
    <mergeCell ref="K1033:L1033"/>
    <mergeCell ref="B1024:D1024"/>
    <mergeCell ref="B1025:D1025"/>
    <mergeCell ref="B1026:D1026"/>
    <mergeCell ref="B1027:D1027"/>
    <mergeCell ref="B1028:D1028"/>
    <mergeCell ref="B1029:D1029"/>
    <mergeCell ref="B1018:D1018"/>
    <mergeCell ref="B1019:D1019"/>
    <mergeCell ref="B1020:D1020"/>
    <mergeCell ref="B1021:D1021"/>
    <mergeCell ref="B1022:D1022"/>
    <mergeCell ref="B1023:D1023"/>
    <mergeCell ref="B1012:D1012"/>
    <mergeCell ref="B1013:D1013"/>
    <mergeCell ref="B1014:D1014"/>
    <mergeCell ref="B1015:D1015"/>
    <mergeCell ref="B1016:D1016"/>
    <mergeCell ref="B1017:D1017"/>
    <mergeCell ref="A1009:L1009"/>
    <mergeCell ref="C1010:D1010"/>
    <mergeCell ref="J1010:L1010"/>
    <mergeCell ref="B1011:D1011"/>
    <mergeCell ref="G1011:H1011"/>
    <mergeCell ref="K1011:L1011"/>
    <mergeCell ref="B1002:D1002"/>
    <mergeCell ref="B1003:D1003"/>
    <mergeCell ref="B1004:D1004"/>
    <mergeCell ref="B1005:D1005"/>
    <mergeCell ref="B1006:D1006"/>
    <mergeCell ref="B1007:D1007"/>
    <mergeCell ref="B996:D996"/>
    <mergeCell ref="B997:D997"/>
    <mergeCell ref="B998:D998"/>
    <mergeCell ref="B999:D999"/>
    <mergeCell ref="B1000:D1000"/>
    <mergeCell ref="B1001:D1001"/>
    <mergeCell ref="B991:D991"/>
    <mergeCell ref="A993:L993"/>
    <mergeCell ref="C994:D994"/>
    <mergeCell ref="J994:L994"/>
    <mergeCell ref="B995:D995"/>
    <mergeCell ref="G995:H995"/>
    <mergeCell ref="K995:L995"/>
    <mergeCell ref="B986:D986"/>
    <mergeCell ref="B987:D987"/>
    <mergeCell ref="B988:D988"/>
    <mergeCell ref="B989:D989"/>
    <mergeCell ref="B990:D990"/>
    <mergeCell ref="B980:D980"/>
    <mergeCell ref="B981:D981"/>
    <mergeCell ref="B982:D982"/>
    <mergeCell ref="B983:D983"/>
    <mergeCell ref="B984:D984"/>
    <mergeCell ref="B985:D985"/>
    <mergeCell ref="B976:D976"/>
    <mergeCell ref="G976:H976"/>
    <mergeCell ref="K976:L976"/>
    <mergeCell ref="B977:D977"/>
    <mergeCell ref="B978:D978"/>
    <mergeCell ref="B979:D979"/>
    <mergeCell ref="B969:D969"/>
    <mergeCell ref="B970:D970"/>
    <mergeCell ref="B971:D971"/>
    <mergeCell ref="B972:D972"/>
    <mergeCell ref="A974:L974"/>
    <mergeCell ref="C975:D975"/>
    <mergeCell ref="J975:L975"/>
    <mergeCell ref="C966:D966"/>
    <mergeCell ref="J966:L966"/>
    <mergeCell ref="B967:D967"/>
    <mergeCell ref="G967:H967"/>
    <mergeCell ref="K967:L967"/>
    <mergeCell ref="B968:D968"/>
    <mergeCell ref="B959:D959"/>
    <mergeCell ref="B960:D960"/>
    <mergeCell ref="B961:D961"/>
    <mergeCell ref="B962:D962"/>
    <mergeCell ref="B963:D963"/>
    <mergeCell ref="A965:L965"/>
    <mergeCell ref="B954:D954"/>
    <mergeCell ref="B955:D955"/>
    <mergeCell ref="B956:D956"/>
    <mergeCell ref="B957:D957"/>
    <mergeCell ref="B958:D958"/>
    <mergeCell ref="B948:D948"/>
    <mergeCell ref="B949:D949"/>
    <mergeCell ref="B950:D950"/>
    <mergeCell ref="B951:D951"/>
    <mergeCell ref="B952:D952"/>
    <mergeCell ref="B953:D953"/>
    <mergeCell ref="C945:D945"/>
    <mergeCell ref="J945:L945"/>
    <mergeCell ref="B946:D946"/>
    <mergeCell ref="G946:H946"/>
    <mergeCell ref="K946:L946"/>
    <mergeCell ref="B947:D947"/>
    <mergeCell ref="B938:D938"/>
    <mergeCell ref="B939:D939"/>
    <mergeCell ref="B940:D940"/>
    <mergeCell ref="B941:D941"/>
    <mergeCell ref="B942:D942"/>
    <mergeCell ref="A944:L944"/>
    <mergeCell ref="B932:D932"/>
    <mergeCell ref="B933:D933"/>
    <mergeCell ref="A935:L935"/>
    <mergeCell ref="C936:D936"/>
    <mergeCell ref="J936:L936"/>
    <mergeCell ref="B937:D937"/>
    <mergeCell ref="G937:H937"/>
    <mergeCell ref="K937:L937"/>
    <mergeCell ref="B926:D926"/>
    <mergeCell ref="B927:D927"/>
    <mergeCell ref="B928:D928"/>
    <mergeCell ref="B929:D929"/>
    <mergeCell ref="B930:D930"/>
    <mergeCell ref="B931:D931"/>
    <mergeCell ref="B920:D920"/>
    <mergeCell ref="B921:D921"/>
    <mergeCell ref="B922:D922"/>
    <mergeCell ref="B923:D923"/>
    <mergeCell ref="B924:D924"/>
    <mergeCell ref="B925:D925"/>
    <mergeCell ref="B915:D915"/>
    <mergeCell ref="G915:H915"/>
    <mergeCell ref="K915:L915"/>
    <mergeCell ref="B916:D916"/>
    <mergeCell ref="B917:D917"/>
    <mergeCell ref="B918:D918"/>
    <mergeCell ref="B919:D919"/>
    <mergeCell ref="B909:D909"/>
    <mergeCell ref="B910:D910"/>
    <mergeCell ref="B911:D911"/>
    <mergeCell ref="A913:L913"/>
    <mergeCell ref="C914:D914"/>
    <mergeCell ref="J914:L914"/>
    <mergeCell ref="B904:D904"/>
    <mergeCell ref="B905:D905"/>
    <mergeCell ref="B906:D906"/>
    <mergeCell ref="B907:D907"/>
    <mergeCell ref="B908:D908"/>
    <mergeCell ref="B899:D899"/>
    <mergeCell ref="B900:D900"/>
    <mergeCell ref="B901:D901"/>
    <mergeCell ref="B902:D902"/>
    <mergeCell ref="B903:D903"/>
    <mergeCell ref="C897:D897"/>
    <mergeCell ref="J897:L897"/>
    <mergeCell ref="B898:D898"/>
    <mergeCell ref="G898:H898"/>
    <mergeCell ref="K898:L898"/>
    <mergeCell ref="B891:D891"/>
    <mergeCell ref="B892:D892"/>
    <mergeCell ref="B893:D893"/>
    <mergeCell ref="B894:D894"/>
    <mergeCell ref="A896:L896"/>
    <mergeCell ref="B885:D885"/>
    <mergeCell ref="B886:D886"/>
    <mergeCell ref="B887:D887"/>
    <mergeCell ref="B888:D888"/>
    <mergeCell ref="B889:D889"/>
    <mergeCell ref="B890:D890"/>
    <mergeCell ref="B879:D879"/>
    <mergeCell ref="B880:D880"/>
    <mergeCell ref="B881:D881"/>
    <mergeCell ref="B882:D882"/>
    <mergeCell ref="B883:D883"/>
    <mergeCell ref="B884:D884"/>
    <mergeCell ref="C876:D876"/>
    <mergeCell ref="J876:L876"/>
    <mergeCell ref="B877:D877"/>
    <mergeCell ref="G877:H877"/>
    <mergeCell ref="K877:L877"/>
    <mergeCell ref="B878:D878"/>
    <mergeCell ref="B870:D870"/>
    <mergeCell ref="B871:D871"/>
    <mergeCell ref="B872:D872"/>
    <mergeCell ref="B873:D873"/>
    <mergeCell ref="A875:L875"/>
    <mergeCell ref="B864:D864"/>
    <mergeCell ref="B865:D865"/>
    <mergeCell ref="B866:D866"/>
    <mergeCell ref="B867:D867"/>
    <mergeCell ref="B868:D868"/>
    <mergeCell ref="B869:D869"/>
    <mergeCell ref="A861:L861"/>
    <mergeCell ref="C862:D862"/>
    <mergeCell ref="J862:L862"/>
    <mergeCell ref="B863:D863"/>
    <mergeCell ref="G863:H863"/>
    <mergeCell ref="K863:L863"/>
    <mergeCell ref="B854:D854"/>
    <mergeCell ref="B855:D855"/>
    <mergeCell ref="B856:D856"/>
    <mergeCell ref="B857:D857"/>
    <mergeCell ref="B858:D858"/>
    <mergeCell ref="B859:D859"/>
    <mergeCell ref="B850:D850"/>
    <mergeCell ref="G850:H850"/>
    <mergeCell ref="K850:L850"/>
    <mergeCell ref="B851:D851"/>
    <mergeCell ref="B852:D852"/>
    <mergeCell ref="B853:D853"/>
    <mergeCell ref="A846:C846"/>
    <mergeCell ref="D846:L846"/>
    <mergeCell ref="A847:C847"/>
    <mergeCell ref="D847:L847"/>
    <mergeCell ref="A848:L848"/>
    <mergeCell ref="C849:D849"/>
    <mergeCell ref="J849:L849"/>
    <mergeCell ref="A843:C843"/>
    <mergeCell ref="D843:L843"/>
    <mergeCell ref="A844:C844"/>
    <mergeCell ref="D844:L844"/>
    <mergeCell ref="A845:C845"/>
    <mergeCell ref="D845:L845"/>
    <mergeCell ref="A840:C840"/>
    <mergeCell ref="D840:L840"/>
    <mergeCell ref="A841:C841"/>
    <mergeCell ref="D841:L841"/>
    <mergeCell ref="A842:C842"/>
    <mergeCell ref="D842:L842"/>
    <mergeCell ref="B833:D833"/>
    <mergeCell ref="B834:D834"/>
    <mergeCell ref="B835:D835"/>
    <mergeCell ref="A838:L838"/>
    <mergeCell ref="A839:C839"/>
    <mergeCell ref="D839:L839"/>
    <mergeCell ref="B828:D828"/>
    <mergeCell ref="B829:D829"/>
    <mergeCell ref="B830:D830"/>
    <mergeCell ref="B831:D831"/>
    <mergeCell ref="B832:D832"/>
    <mergeCell ref="B824:D824"/>
    <mergeCell ref="B825:D825"/>
    <mergeCell ref="B826:D826"/>
    <mergeCell ref="B827:D827"/>
    <mergeCell ref="B818:D818"/>
    <mergeCell ref="B819:D819"/>
    <mergeCell ref="B820:D820"/>
    <mergeCell ref="B821:D821"/>
    <mergeCell ref="B822:D822"/>
    <mergeCell ref="B823:D823"/>
    <mergeCell ref="B815:D815"/>
    <mergeCell ref="G815:H815"/>
    <mergeCell ref="K815:L815"/>
    <mergeCell ref="B816:D816"/>
    <mergeCell ref="B817:D817"/>
    <mergeCell ref="B808:D808"/>
    <mergeCell ref="B809:D809"/>
    <mergeCell ref="B810:D810"/>
    <mergeCell ref="B811:D811"/>
    <mergeCell ref="A813:L813"/>
    <mergeCell ref="C814:D814"/>
    <mergeCell ref="J814:L814"/>
    <mergeCell ref="B804:D804"/>
    <mergeCell ref="B805:D805"/>
    <mergeCell ref="B806:D806"/>
    <mergeCell ref="B807:D807"/>
    <mergeCell ref="B798:D798"/>
    <mergeCell ref="B799:D799"/>
    <mergeCell ref="B800:D800"/>
    <mergeCell ref="B801:D801"/>
    <mergeCell ref="B802:D802"/>
    <mergeCell ref="B803:D803"/>
    <mergeCell ref="B792:D792"/>
    <mergeCell ref="B793:D793"/>
    <mergeCell ref="B794:D794"/>
    <mergeCell ref="B795:D795"/>
    <mergeCell ref="B796:D796"/>
    <mergeCell ref="B797:D797"/>
    <mergeCell ref="B786:D786"/>
    <mergeCell ref="B787:D787"/>
    <mergeCell ref="A789:L789"/>
    <mergeCell ref="C790:D790"/>
    <mergeCell ref="J790:L790"/>
    <mergeCell ref="B791:D791"/>
    <mergeCell ref="G791:H791"/>
    <mergeCell ref="K791:L791"/>
    <mergeCell ref="B780:D780"/>
    <mergeCell ref="B781:D781"/>
    <mergeCell ref="B782:D782"/>
    <mergeCell ref="B783:D783"/>
    <mergeCell ref="B784:D784"/>
    <mergeCell ref="B785:D785"/>
    <mergeCell ref="B774:D774"/>
    <mergeCell ref="B775:D775"/>
    <mergeCell ref="B776:D776"/>
    <mergeCell ref="B777:D777"/>
    <mergeCell ref="B778:D778"/>
    <mergeCell ref="B779:D779"/>
    <mergeCell ref="B770:D770"/>
    <mergeCell ref="G770:H770"/>
    <mergeCell ref="K770:L770"/>
    <mergeCell ref="B771:D771"/>
    <mergeCell ref="B772:D772"/>
    <mergeCell ref="B773:D773"/>
    <mergeCell ref="B764:D764"/>
    <mergeCell ref="B765:D765"/>
    <mergeCell ref="B766:D766"/>
    <mergeCell ref="A768:L768"/>
    <mergeCell ref="C769:D769"/>
    <mergeCell ref="J769:L769"/>
    <mergeCell ref="C761:D761"/>
    <mergeCell ref="J761:L761"/>
    <mergeCell ref="B762:D762"/>
    <mergeCell ref="G762:H762"/>
    <mergeCell ref="K762:L762"/>
    <mergeCell ref="B763:D763"/>
    <mergeCell ref="B754:D754"/>
    <mergeCell ref="B755:D755"/>
    <mergeCell ref="B756:D756"/>
    <mergeCell ref="B757:D757"/>
    <mergeCell ref="B758:D758"/>
    <mergeCell ref="A760:L760"/>
    <mergeCell ref="B749:D749"/>
    <mergeCell ref="B750:D750"/>
    <mergeCell ref="B751:D751"/>
    <mergeCell ref="B752:D752"/>
    <mergeCell ref="B753:D753"/>
    <mergeCell ref="B743:D743"/>
    <mergeCell ref="B744:D744"/>
    <mergeCell ref="B745:D745"/>
    <mergeCell ref="B746:D746"/>
    <mergeCell ref="B747:D747"/>
    <mergeCell ref="B748:D748"/>
    <mergeCell ref="B739:D739"/>
    <mergeCell ref="G739:H739"/>
    <mergeCell ref="K739:L739"/>
    <mergeCell ref="B740:D740"/>
    <mergeCell ref="B741:D741"/>
    <mergeCell ref="B742:D742"/>
    <mergeCell ref="B733:D733"/>
    <mergeCell ref="B734:D734"/>
    <mergeCell ref="B735:D735"/>
    <mergeCell ref="A737:L737"/>
    <mergeCell ref="C738:D738"/>
    <mergeCell ref="J738:L738"/>
    <mergeCell ref="B728:D728"/>
    <mergeCell ref="B729:D729"/>
    <mergeCell ref="B730:D730"/>
    <mergeCell ref="B731:D731"/>
    <mergeCell ref="B732:D732"/>
    <mergeCell ref="B724:D724"/>
    <mergeCell ref="G724:H724"/>
    <mergeCell ref="K724:L724"/>
    <mergeCell ref="B725:D725"/>
    <mergeCell ref="B726:D726"/>
    <mergeCell ref="B727:D727"/>
    <mergeCell ref="B718:D718"/>
    <mergeCell ref="B719:D719"/>
    <mergeCell ref="B720:D720"/>
    <mergeCell ref="A722:L722"/>
    <mergeCell ref="C723:D723"/>
    <mergeCell ref="J723:L723"/>
    <mergeCell ref="B712:D712"/>
    <mergeCell ref="B713:D713"/>
    <mergeCell ref="B714:D714"/>
    <mergeCell ref="B715:D715"/>
    <mergeCell ref="B716:D716"/>
    <mergeCell ref="B717:D717"/>
    <mergeCell ref="B707:D707"/>
    <mergeCell ref="B708:D708"/>
    <mergeCell ref="B709:D709"/>
    <mergeCell ref="B710:D710"/>
    <mergeCell ref="B711:D711"/>
    <mergeCell ref="B702:D702"/>
    <mergeCell ref="A704:L704"/>
    <mergeCell ref="C705:D705"/>
    <mergeCell ref="J705:L705"/>
    <mergeCell ref="B706:D706"/>
    <mergeCell ref="G706:H706"/>
    <mergeCell ref="K706:L706"/>
    <mergeCell ref="B697:D697"/>
    <mergeCell ref="B698:D698"/>
    <mergeCell ref="B699:D699"/>
    <mergeCell ref="B700:D700"/>
    <mergeCell ref="B701:D701"/>
    <mergeCell ref="B691:D691"/>
    <mergeCell ref="B692:D692"/>
    <mergeCell ref="B693:D693"/>
    <mergeCell ref="B694:D694"/>
    <mergeCell ref="B695:D695"/>
    <mergeCell ref="B696:D696"/>
    <mergeCell ref="A687:C687"/>
    <mergeCell ref="D687:L687"/>
    <mergeCell ref="A688:L688"/>
    <mergeCell ref="C689:D689"/>
    <mergeCell ref="J689:L689"/>
    <mergeCell ref="B690:D690"/>
    <mergeCell ref="G690:H690"/>
    <mergeCell ref="K690:L690"/>
    <mergeCell ref="A684:C684"/>
    <mergeCell ref="D684:L684"/>
    <mergeCell ref="A685:C685"/>
    <mergeCell ref="D685:L685"/>
    <mergeCell ref="A686:C686"/>
    <mergeCell ref="D686:L686"/>
    <mergeCell ref="A681:C681"/>
    <mergeCell ref="D681:L681"/>
    <mergeCell ref="A682:C682"/>
    <mergeCell ref="D682:L682"/>
    <mergeCell ref="A683:C683"/>
    <mergeCell ref="D683:L683"/>
    <mergeCell ref="B675:D675"/>
    <mergeCell ref="B676:D676"/>
    <mergeCell ref="B677:D677"/>
    <mergeCell ref="A679:C679"/>
    <mergeCell ref="D679:L679"/>
    <mergeCell ref="A680:C680"/>
    <mergeCell ref="D680:L680"/>
    <mergeCell ref="C672:D672"/>
    <mergeCell ref="J672:L672"/>
    <mergeCell ref="B673:D673"/>
    <mergeCell ref="G673:H673"/>
    <mergeCell ref="K673:L673"/>
    <mergeCell ref="B674:D674"/>
    <mergeCell ref="B665:D665"/>
    <mergeCell ref="B666:D666"/>
    <mergeCell ref="B667:D667"/>
    <mergeCell ref="B668:D668"/>
    <mergeCell ref="B669:D669"/>
    <mergeCell ref="A671:L671"/>
    <mergeCell ref="B660:D660"/>
    <mergeCell ref="A662:L662"/>
    <mergeCell ref="C663:D663"/>
    <mergeCell ref="J663:L663"/>
    <mergeCell ref="B664:D664"/>
    <mergeCell ref="G664:H664"/>
    <mergeCell ref="K664:L664"/>
    <mergeCell ref="B656:D656"/>
    <mergeCell ref="G656:H656"/>
    <mergeCell ref="K656:L656"/>
    <mergeCell ref="B657:D657"/>
    <mergeCell ref="B658:D658"/>
    <mergeCell ref="B659:D659"/>
    <mergeCell ref="B650:D650"/>
    <mergeCell ref="B651:D651"/>
    <mergeCell ref="B652:D652"/>
    <mergeCell ref="A654:L654"/>
    <mergeCell ref="C655:D655"/>
    <mergeCell ref="J655:L655"/>
    <mergeCell ref="B644:D644"/>
    <mergeCell ref="B645:D645"/>
    <mergeCell ref="B646:D646"/>
    <mergeCell ref="B647:D647"/>
    <mergeCell ref="B648:D648"/>
    <mergeCell ref="B649:D649"/>
    <mergeCell ref="B638:D638"/>
    <mergeCell ref="B639:D639"/>
    <mergeCell ref="B640:D640"/>
    <mergeCell ref="B641:D641"/>
    <mergeCell ref="B642:D642"/>
    <mergeCell ref="B643:D643"/>
    <mergeCell ref="B633:D633"/>
    <mergeCell ref="A635:L635"/>
    <mergeCell ref="C636:D636"/>
    <mergeCell ref="J636:L636"/>
    <mergeCell ref="B637:D637"/>
    <mergeCell ref="G637:H637"/>
    <mergeCell ref="K637:L637"/>
    <mergeCell ref="B627:D627"/>
    <mergeCell ref="B628:D628"/>
    <mergeCell ref="B629:D629"/>
    <mergeCell ref="B630:D630"/>
    <mergeCell ref="B631:D631"/>
    <mergeCell ref="B632:D632"/>
    <mergeCell ref="C624:D624"/>
    <mergeCell ref="J624:L624"/>
    <mergeCell ref="B625:D625"/>
    <mergeCell ref="G625:H625"/>
    <mergeCell ref="K625:L625"/>
    <mergeCell ref="B626:D626"/>
    <mergeCell ref="B617:D617"/>
    <mergeCell ref="B618:D618"/>
    <mergeCell ref="B619:D619"/>
    <mergeCell ref="B620:D620"/>
    <mergeCell ref="B621:D621"/>
    <mergeCell ref="A623:L623"/>
    <mergeCell ref="B611:D611"/>
    <mergeCell ref="B612:D612"/>
    <mergeCell ref="B613:D613"/>
    <mergeCell ref="B614:D614"/>
    <mergeCell ref="B615:D615"/>
    <mergeCell ref="B616:D616"/>
    <mergeCell ref="B570:D570"/>
    <mergeCell ref="B571:D571"/>
    <mergeCell ref="A573:L573"/>
    <mergeCell ref="C608:D608"/>
    <mergeCell ref="J608:L608"/>
    <mergeCell ref="B609:D609"/>
    <mergeCell ref="G609:H609"/>
    <mergeCell ref="K609:L609"/>
    <mergeCell ref="B610:D610"/>
    <mergeCell ref="B601:D601"/>
    <mergeCell ref="B602:D602"/>
    <mergeCell ref="B603:D603"/>
    <mergeCell ref="B604:D604"/>
    <mergeCell ref="B605:D605"/>
    <mergeCell ref="A607:L607"/>
    <mergeCell ref="B595:D595"/>
    <mergeCell ref="B596:D596"/>
    <mergeCell ref="A598:L598"/>
    <mergeCell ref="C599:D599"/>
    <mergeCell ref="J599:L599"/>
    <mergeCell ref="B600:D600"/>
    <mergeCell ref="G600:H600"/>
    <mergeCell ref="K600:L600"/>
    <mergeCell ref="C574:D574"/>
    <mergeCell ref="J574:L574"/>
    <mergeCell ref="G552:H552"/>
    <mergeCell ref="K552:L552"/>
    <mergeCell ref="B553:D553"/>
    <mergeCell ref="B565:D565"/>
    <mergeCell ref="B566:D566"/>
    <mergeCell ref="B567:D567"/>
    <mergeCell ref="B568:D568"/>
    <mergeCell ref="B589:D589"/>
    <mergeCell ref="B590:D590"/>
    <mergeCell ref="B591:D591"/>
    <mergeCell ref="B592:D592"/>
    <mergeCell ref="B593:D593"/>
    <mergeCell ref="B594:D594"/>
    <mergeCell ref="A586:L586"/>
    <mergeCell ref="C587:D587"/>
    <mergeCell ref="J587:L587"/>
    <mergeCell ref="B588:D588"/>
    <mergeCell ref="G588:H588"/>
    <mergeCell ref="K588:L588"/>
    <mergeCell ref="B579:D579"/>
    <mergeCell ref="B580:D580"/>
    <mergeCell ref="B581:D581"/>
    <mergeCell ref="B582:D582"/>
    <mergeCell ref="B583:D583"/>
    <mergeCell ref="B584:D584"/>
    <mergeCell ref="B575:D575"/>
    <mergeCell ref="G575:H575"/>
    <mergeCell ref="K575:L575"/>
    <mergeCell ref="B576:D576"/>
    <mergeCell ref="B577:D577"/>
    <mergeCell ref="B578:D578"/>
    <mergeCell ref="B569:D569"/>
    <mergeCell ref="B563:D563"/>
    <mergeCell ref="B564:D564"/>
    <mergeCell ref="B543:D543"/>
    <mergeCell ref="B544:D544"/>
    <mergeCell ref="B545:D545"/>
    <mergeCell ref="B546:D546"/>
    <mergeCell ref="B547:D547"/>
    <mergeCell ref="A550:L550"/>
    <mergeCell ref="B539:D539"/>
    <mergeCell ref="B540:D540"/>
    <mergeCell ref="B541:D541"/>
    <mergeCell ref="B542:D542"/>
    <mergeCell ref="A536:L536"/>
    <mergeCell ref="C537:D537"/>
    <mergeCell ref="J537:L537"/>
    <mergeCell ref="B538:D538"/>
    <mergeCell ref="G538:H538"/>
    <mergeCell ref="K538:L538"/>
    <mergeCell ref="A560:L560"/>
    <mergeCell ref="C561:D561"/>
    <mergeCell ref="J561:L561"/>
    <mergeCell ref="B562:D562"/>
    <mergeCell ref="G562:H562"/>
    <mergeCell ref="K562:L562"/>
    <mergeCell ref="B554:D554"/>
    <mergeCell ref="B555:D555"/>
    <mergeCell ref="B556:D556"/>
    <mergeCell ref="B557:D557"/>
    <mergeCell ref="B558:D558"/>
    <mergeCell ref="C551:D551"/>
    <mergeCell ref="J551:L551"/>
    <mergeCell ref="B552:D552"/>
    <mergeCell ref="B528:D528"/>
    <mergeCell ref="B529:D529"/>
    <mergeCell ref="B530:D530"/>
    <mergeCell ref="B531:D531"/>
    <mergeCell ref="F532:F533"/>
    <mergeCell ref="G532:J532"/>
    <mergeCell ref="G533:J533"/>
    <mergeCell ref="B522:D522"/>
    <mergeCell ref="I522:J522"/>
    <mergeCell ref="A525:L525"/>
    <mergeCell ref="C526:D526"/>
    <mergeCell ref="J526:L526"/>
    <mergeCell ref="B527:D527"/>
    <mergeCell ref="G527:H527"/>
    <mergeCell ref="K527:L527"/>
    <mergeCell ref="C520:D520"/>
    <mergeCell ref="J520:L520"/>
    <mergeCell ref="B521:D521"/>
    <mergeCell ref="G521:H521"/>
    <mergeCell ref="I521:J521"/>
    <mergeCell ref="K521:L521"/>
    <mergeCell ref="B516:D516"/>
    <mergeCell ref="I516:J516"/>
    <mergeCell ref="B517:D517"/>
    <mergeCell ref="I517:J517"/>
    <mergeCell ref="A519:L519"/>
    <mergeCell ref="B511:D511"/>
    <mergeCell ref="I511:J511"/>
    <mergeCell ref="A513:L513"/>
    <mergeCell ref="C514:D514"/>
    <mergeCell ref="J514:L514"/>
    <mergeCell ref="B515:D515"/>
    <mergeCell ref="G515:H515"/>
    <mergeCell ref="I515:J515"/>
    <mergeCell ref="K515:L515"/>
    <mergeCell ref="C509:D509"/>
    <mergeCell ref="J509:L509"/>
    <mergeCell ref="B510:D510"/>
    <mergeCell ref="G510:H510"/>
    <mergeCell ref="I510:J510"/>
    <mergeCell ref="K510:L510"/>
    <mergeCell ref="B505:D505"/>
    <mergeCell ref="I505:J505"/>
    <mergeCell ref="B506:D506"/>
    <mergeCell ref="I506:J506"/>
    <mergeCell ref="A508:L508"/>
    <mergeCell ref="B502:D502"/>
    <mergeCell ref="I502:J502"/>
    <mergeCell ref="B503:D503"/>
    <mergeCell ref="I503:J503"/>
    <mergeCell ref="B504:D504"/>
    <mergeCell ref="I504:J504"/>
    <mergeCell ref="A499:L499"/>
    <mergeCell ref="C500:D500"/>
    <mergeCell ref="J500:L500"/>
    <mergeCell ref="B501:D501"/>
    <mergeCell ref="G501:H501"/>
    <mergeCell ref="I501:J501"/>
    <mergeCell ref="K501:L501"/>
    <mergeCell ref="B491:D491"/>
    <mergeCell ref="B492:D492"/>
    <mergeCell ref="B493:D493"/>
    <mergeCell ref="B494:D494"/>
    <mergeCell ref="F495:F496"/>
    <mergeCell ref="G495:J495"/>
    <mergeCell ref="G496:J496"/>
    <mergeCell ref="B487:D487"/>
    <mergeCell ref="E487:H487"/>
    <mergeCell ref="A488:L488"/>
    <mergeCell ref="J489:L489"/>
    <mergeCell ref="B490:D490"/>
    <mergeCell ref="G490:H490"/>
    <mergeCell ref="K490:L490"/>
    <mergeCell ref="C484:D484"/>
    <mergeCell ref="J484:L484"/>
    <mergeCell ref="B485:D485"/>
    <mergeCell ref="I485:J485"/>
    <mergeCell ref="K485:L485"/>
    <mergeCell ref="B486:D486"/>
    <mergeCell ref="I486:J486"/>
    <mergeCell ref="B480:D480"/>
    <mergeCell ref="I480:J480"/>
    <mergeCell ref="B481:D481"/>
    <mergeCell ref="I481:J481"/>
    <mergeCell ref="B482:D482"/>
    <mergeCell ref="A483:L483"/>
    <mergeCell ref="C478:D478"/>
    <mergeCell ref="J478:L478"/>
    <mergeCell ref="B479:D479"/>
    <mergeCell ref="I479:J479"/>
    <mergeCell ref="K479:L479"/>
    <mergeCell ref="B475:D475"/>
    <mergeCell ref="I475:J475"/>
    <mergeCell ref="B476:D476"/>
    <mergeCell ref="E476:H476"/>
    <mergeCell ref="A477:L477"/>
    <mergeCell ref="A472:L472"/>
    <mergeCell ref="C473:D473"/>
    <mergeCell ref="J473:L473"/>
    <mergeCell ref="B474:D474"/>
    <mergeCell ref="I474:J474"/>
    <mergeCell ref="K474:L474"/>
    <mergeCell ref="B469:D469"/>
    <mergeCell ref="I469:J469"/>
    <mergeCell ref="K469:L469"/>
    <mergeCell ref="B470:D470"/>
    <mergeCell ref="I470:J470"/>
    <mergeCell ref="B471:D471"/>
    <mergeCell ref="E471:H471"/>
    <mergeCell ref="B466:D466"/>
    <mergeCell ref="E466:H466"/>
    <mergeCell ref="A467:L467"/>
    <mergeCell ref="C468:D468"/>
    <mergeCell ref="J468:L468"/>
    <mergeCell ref="B464:D464"/>
    <mergeCell ref="I464:J464"/>
    <mergeCell ref="K464:L464"/>
    <mergeCell ref="B465:D465"/>
    <mergeCell ref="I465:J465"/>
    <mergeCell ref="B460:D460"/>
    <mergeCell ref="I460:J460"/>
    <mergeCell ref="B461:D461"/>
    <mergeCell ref="E461:H461"/>
    <mergeCell ref="A462:L462"/>
    <mergeCell ref="C463:D463"/>
    <mergeCell ref="J463:L463"/>
    <mergeCell ref="B456:D456"/>
    <mergeCell ref="E456:H456"/>
    <mergeCell ref="A457:L457"/>
    <mergeCell ref="C458:D458"/>
    <mergeCell ref="J458:L458"/>
    <mergeCell ref="B459:D459"/>
    <mergeCell ref="I459:J459"/>
    <mergeCell ref="K459:L459"/>
    <mergeCell ref="B454:D454"/>
    <mergeCell ref="G454:H454"/>
    <mergeCell ref="I454:J454"/>
    <mergeCell ref="K454:L454"/>
    <mergeCell ref="B455:D455"/>
    <mergeCell ref="I455:J455"/>
    <mergeCell ref="B450:D450"/>
    <mergeCell ref="I450:J450"/>
    <mergeCell ref="B451:D451"/>
    <mergeCell ref="E451:H451"/>
    <mergeCell ref="A452:L452"/>
    <mergeCell ref="C453:D453"/>
    <mergeCell ref="J453:L453"/>
    <mergeCell ref="A447:L447"/>
    <mergeCell ref="C448:D448"/>
    <mergeCell ref="J448:L448"/>
    <mergeCell ref="B449:D449"/>
    <mergeCell ref="I449:J449"/>
    <mergeCell ref="K449:L449"/>
    <mergeCell ref="B444:D444"/>
    <mergeCell ref="G444:H444"/>
    <mergeCell ref="I444:J444"/>
    <mergeCell ref="K444:L444"/>
    <mergeCell ref="B445:D445"/>
    <mergeCell ref="I445:J445"/>
    <mergeCell ref="B440:D440"/>
    <mergeCell ref="I440:J440"/>
    <mergeCell ref="B441:D441"/>
    <mergeCell ref="E441:H441"/>
    <mergeCell ref="A442:L442"/>
    <mergeCell ref="C443:D443"/>
    <mergeCell ref="J443:L443"/>
    <mergeCell ref="A437:L437"/>
    <mergeCell ref="C438:D438"/>
    <mergeCell ref="J438:L438"/>
    <mergeCell ref="B439:D439"/>
    <mergeCell ref="I439:J439"/>
    <mergeCell ref="K439:L439"/>
    <mergeCell ref="B434:D434"/>
    <mergeCell ref="I434:J434"/>
    <mergeCell ref="K434:L434"/>
    <mergeCell ref="B435:D435"/>
    <mergeCell ref="I435:J435"/>
    <mergeCell ref="B436:D436"/>
    <mergeCell ref="E436:H436"/>
    <mergeCell ref="G430:J430"/>
    <mergeCell ref="A432:L432"/>
    <mergeCell ref="C433:D433"/>
    <mergeCell ref="J433:L433"/>
    <mergeCell ref="B425:D425"/>
    <mergeCell ref="G425:H425"/>
    <mergeCell ref="K425:L425"/>
    <mergeCell ref="B426:D426"/>
    <mergeCell ref="B427:D427"/>
    <mergeCell ref="F429:F430"/>
    <mergeCell ref="G429:J429"/>
    <mergeCell ref="B407:D407"/>
    <mergeCell ref="F408:F409"/>
    <mergeCell ref="G408:J408"/>
    <mergeCell ref="G409:J409"/>
    <mergeCell ref="A412:L412"/>
    <mergeCell ref="C424:D424"/>
    <mergeCell ref="J424:L424"/>
    <mergeCell ref="F419:F420"/>
    <mergeCell ref="G419:J419"/>
    <mergeCell ref="G420:J420"/>
    <mergeCell ref="A423:L423"/>
    <mergeCell ref="B403:D403"/>
    <mergeCell ref="G403:H403"/>
    <mergeCell ref="K403:L403"/>
    <mergeCell ref="B404:D404"/>
    <mergeCell ref="B405:D405"/>
    <mergeCell ref="B406:D406"/>
    <mergeCell ref="B395:D395"/>
    <mergeCell ref="F397:F398"/>
    <mergeCell ref="G397:J397"/>
    <mergeCell ref="G398:J398"/>
    <mergeCell ref="A401:L401"/>
    <mergeCell ref="C402:D402"/>
    <mergeCell ref="J402:L402"/>
    <mergeCell ref="A392:L392"/>
    <mergeCell ref="C393:D393"/>
    <mergeCell ref="J393:L393"/>
    <mergeCell ref="B394:D394"/>
    <mergeCell ref="G394:H394"/>
    <mergeCell ref="K394:L394"/>
    <mergeCell ref="B385:D385"/>
    <mergeCell ref="G385:H385"/>
    <mergeCell ref="K385:L385"/>
    <mergeCell ref="B386:D386"/>
    <mergeCell ref="B387:D387"/>
    <mergeCell ref="F388:F389"/>
    <mergeCell ref="G388:J388"/>
    <mergeCell ref="G389:J389"/>
    <mergeCell ref="B378:D378"/>
    <mergeCell ref="F379:F380"/>
    <mergeCell ref="G379:J379"/>
    <mergeCell ref="G380:J380"/>
    <mergeCell ref="A383:L383"/>
    <mergeCell ref="C384:D384"/>
    <mergeCell ref="J384:L384"/>
    <mergeCell ref="B374:H374"/>
    <mergeCell ref="A375:L375"/>
    <mergeCell ref="C376:D376"/>
    <mergeCell ref="J376:L376"/>
    <mergeCell ref="B377:D377"/>
    <mergeCell ref="G377:H377"/>
    <mergeCell ref="K377:L377"/>
    <mergeCell ref="B369:D369"/>
    <mergeCell ref="I369:J369"/>
    <mergeCell ref="B370:D370"/>
    <mergeCell ref="I370:J370"/>
    <mergeCell ref="I371:J371"/>
    <mergeCell ref="I372:J372"/>
    <mergeCell ref="C367:D367"/>
    <mergeCell ref="J367:L367"/>
    <mergeCell ref="B368:D368"/>
    <mergeCell ref="G368:H368"/>
    <mergeCell ref="I368:J368"/>
    <mergeCell ref="K368:L368"/>
    <mergeCell ref="B361:D361"/>
    <mergeCell ref="F362:F363"/>
    <mergeCell ref="G362:J362"/>
    <mergeCell ref="G363:J363"/>
    <mergeCell ref="A366:L366"/>
    <mergeCell ref="B362:D364"/>
    <mergeCell ref="A358:L358"/>
    <mergeCell ref="C359:D359"/>
    <mergeCell ref="J359:L359"/>
    <mergeCell ref="B360:D360"/>
    <mergeCell ref="G360:H360"/>
    <mergeCell ref="K360:L360"/>
    <mergeCell ref="B352:D352"/>
    <mergeCell ref="I352:J352"/>
    <mergeCell ref="B353:D353"/>
    <mergeCell ref="E353:H353"/>
    <mergeCell ref="A354:L357"/>
    <mergeCell ref="A345:L348"/>
    <mergeCell ref="A349:L349"/>
    <mergeCell ref="C350:D350"/>
    <mergeCell ref="G350:H350"/>
    <mergeCell ref="J350:L350"/>
    <mergeCell ref="B351:D351"/>
    <mergeCell ref="I351:J351"/>
    <mergeCell ref="K351:L351"/>
    <mergeCell ref="B342:D342"/>
    <mergeCell ref="I342:J342"/>
    <mergeCell ref="K342:L342"/>
    <mergeCell ref="B343:D343"/>
    <mergeCell ref="I343:J343"/>
    <mergeCell ref="B344:D344"/>
    <mergeCell ref="E344:H344"/>
    <mergeCell ref="G337:I337"/>
    <mergeCell ref="A338:L339"/>
    <mergeCell ref="A340:L340"/>
    <mergeCell ref="C341:D341"/>
    <mergeCell ref="G341:H341"/>
    <mergeCell ref="J341:L341"/>
    <mergeCell ref="B335:D335"/>
    <mergeCell ref="I335:J335"/>
    <mergeCell ref="B336:D336"/>
    <mergeCell ref="I336:J336"/>
    <mergeCell ref="C333:D333"/>
    <mergeCell ref="J333:L333"/>
    <mergeCell ref="B334:D334"/>
    <mergeCell ref="G334:H334"/>
    <mergeCell ref="I334:J334"/>
    <mergeCell ref="K334:L334"/>
    <mergeCell ref="B327:D327"/>
    <mergeCell ref="I327:J327"/>
    <mergeCell ref="B328:D328"/>
    <mergeCell ref="I328:J328"/>
    <mergeCell ref="I329:J329"/>
    <mergeCell ref="A332:L332"/>
    <mergeCell ref="B323:D323"/>
    <mergeCell ref="A324:L324"/>
    <mergeCell ref="C325:D325"/>
    <mergeCell ref="J325:L325"/>
    <mergeCell ref="B326:D326"/>
    <mergeCell ref="G326:H326"/>
    <mergeCell ref="I326:J326"/>
    <mergeCell ref="K326:L326"/>
    <mergeCell ref="B329:D329"/>
    <mergeCell ref="B330:D330"/>
    <mergeCell ref="I330:J330"/>
    <mergeCell ref="B321:D321"/>
    <mergeCell ref="I321:J321"/>
    <mergeCell ref="K321:L321"/>
    <mergeCell ref="B322:D322"/>
    <mergeCell ref="I322:J322"/>
    <mergeCell ref="A317:C317"/>
    <mergeCell ref="D317:L317"/>
    <mergeCell ref="A318:C318"/>
    <mergeCell ref="D318:L318"/>
    <mergeCell ref="A319:L319"/>
    <mergeCell ref="C320:D320"/>
    <mergeCell ref="J320:L320"/>
    <mergeCell ref="A315:C315"/>
    <mergeCell ref="D315:L315"/>
    <mergeCell ref="A316:C316"/>
    <mergeCell ref="D316:L316"/>
    <mergeCell ref="A313:C313"/>
    <mergeCell ref="D313:L313"/>
    <mergeCell ref="A314:C314"/>
    <mergeCell ref="D314:L314"/>
    <mergeCell ref="A309:L309"/>
    <mergeCell ref="A310:C310"/>
    <mergeCell ref="D310:L310"/>
    <mergeCell ref="A311:C311"/>
    <mergeCell ref="D311:L311"/>
    <mergeCell ref="A312:C312"/>
    <mergeCell ref="D312:L312"/>
    <mergeCell ref="B299:D299"/>
    <mergeCell ref="B300:D300"/>
    <mergeCell ref="B301:D301"/>
    <mergeCell ref="B303:D303"/>
    <mergeCell ref="F305:F306"/>
    <mergeCell ref="G305:J305"/>
    <mergeCell ref="G306:J306"/>
    <mergeCell ref="B294:D294"/>
    <mergeCell ref="B295:H295"/>
    <mergeCell ref="A296:L296"/>
    <mergeCell ref="C297:D297"/>
    <mergeCell ref="J297:L297"/>
    <mergeCell ref="B298:D298"/>
    <mergeCell ref="G298:H298"/>
    <mergeCell ref="K298:L298"/>
    <mergeCell ref="B290:D290"/>
    <mergeCell ref="I290:J290"/>
    <mergeCell ref="B291:D291"/>
    <mergeCell ref="I291:J291"/>
    <mergeCell ref="B292:D292"/>
    <mergeCell ref="I292:J292"/>
    <mergeCell ref="A287:L287"/>
    <mergeCell ref="C288:D288"/>
    <mergeCell ref="J288:L288"/>
    <mergeCell ref="B289:D289"/>
    <mergeCell ref="G289:H289"/>
    <mergeCell ref="I289:J289"/>
    <mergeCell ref="K289:L289"/>
    <mergeCell ref="B280:D280"/>
    <mergeCell ref="G282:H282"/>
    <mergeCell ref="B283:D283"/>
    <mergeCell ref="F283:F284"/>
    <mergeCell ref="G283:J283"/>
    <mergeCell ref="G284:J284"/>
    <mergeCell ref="B281:D281"/>
    <mergeCell ref="B276:D276"/>
    <mergeCell ref="G276:H276"/>
    <mergeCell ref="K276:L276"/>
    <mergeCell ref="B277:D277"/>
    <mergeCell ref="B278:D278"/>
    <mergeCell ref="B279:D279"/>
    <mergeCell ref="B270:D270"/>
    <mergeCell ref="B271:D271"/>
    <mergeCell ref="B272:D272"/>
    <mergeCell ref="B273:H273"/>
    <mergeCell ref="A274:L274"/>
    <mergeCell ref="C275:D275"/>
    <mergeCell ref="J275:L275"/>
    <mergeCell ref="G263:J263"/>
    <mergeCell ref="G264:J264"/>
    <mergeCell ref="A267:L267"/>
    <mergeCell ref="C268:D268"/>
    <mergeCell ref="J268:L268"/>
    <mergeCell ref="B269:D269"/>
    <mergeCell ref="G269:H269"/>
    <mergeCell ref="K269:L269"/>
    <mergeCell ref="J244:L244"/>
    <mergeCell ref="C238:D238"/>
    <mergeCell ref="J238:L238"/>
    <mergeCell ref="B239:D239"/>
    <mergeCell ref="G239:H239"/>
    <mergeCell ref="K239:L239"/>
    <mergeCell ref="B258:D258"/>
    <mergeCell ref="B259:D259"/>
    <mergeCell ref="B260:D260"/>
    <mergeCell ref="B261:D261"/>
    <mergeCell ref="B264:D264"/>
    <mergeCell ref="F263:F264"/>
    <mergeCell ref="J255:L255"/>
    <mergeCell ref="B256:D256"/>
    <mergeCell ref="G256:H256"/>
    <mergeCell ref="K256:L256"/>
    <mergeCell ref="B257:D257"/>
    <mergeCell ref="B247:D247"/>
    <mergeCell ref="I247:J247"/>
    <mergeCell ref="G249:I249"/>
    <mergeCell ref="A250:L253"/>
    <mergeCell ref="A254:L254"/>
    <mergeCell ref="B245:D245"/>
    <mergeCell ref="G245:H245"/>
    <mergeCell ref="I245:J245"/>
    <mergeCell ref="B246:D246"/>
    <mergeCell ref="I246:J246"/>
    <mergeCell ref="A237:L237"/>
    <mergeCell ref="B234:D234"/>
    <mergeCell ref="I234:J234"/>
    <mergeCell ref="K234:L234"/>
    <mergeCell ref="B235:D235"/>
    <mergeCell ref="I235:J235"/>
    <mergeCell ref="B236:D236"/>
    <mergeCell ref="B230:D230"/>
    <mergeCell ref="I230:J230"/>
    <mergeCell ref="B231:D231"/>
    <mergeCell ref="A232:L232"/>
    <mergeCell ref="C233:D233"/>
    <mergeCell ref="J233:L233"/>
    <mergeCell ref="B240:D240"/>
    <mergeCell ref="G240:H240"/>
    <mergeCell ref="B241:I241"/>
    <mergeCell ref="A243:L243"/>
    <mergeCell ref="B227:D227"/>
    <mergeCell ref="I227:J227"/>
    <mergeCell ref="B228:D228"/>
    <mergeCell ref="I228:J228"/>
    <mergeCell ref="B229:D229"/>
    <mergeCell ref="I229:J229"/>
    <mergeCell ref="I223:J223"/>
    <mergeCell ref="B224:D224"/>
    <mergeCell ref="I224:J224"/>
    <mergeCell ref="B225:D225"/>
    <mergeCell ref="I225:J225"/>
    <mergeCell ref="B226:D226"/>
    <mergeCell ref="I226:J226"/>
    <mergeCell ref="A219:C219"/>
    <mergeCell ref="D219:L219"/>
    <mergeCell ref="A220:L220"/>
    <mergeCell ref="C221:D221"/>
    <mergeCell ref="J221:L221"/>
    <mergeCell ref="B222:D222"/>
    <mergeCell ref="I222:J222"/>
    <mergeCell ref="K222:L222"/>
    <mergeCell ref="B223:D223"/>
    <mergeCell ref="A216:C216"/>
    <mergeCell ref="D216:L216"/>
    <mergeCell ref="A217:C217"/>
    <mergeCell ref="D217:L217"/>
    <mergeCell ref="A218:C218"/>
    <mergeCell ref="D218:L218"/>
    <mergeCell ref="A213:C213"/>
    <mergeCell ref="D213:L213"/>
    <mergeCell ref="A214:C214"/>
    <mergeCell ref="D214:L214"/>
    <mergeCell ref="A215:C215"/>
    <mergeCell ref="D215:L215"/>
    <mergeCell ref="B206:D206"/>
    <mergeCell ref="F207:F208"/>
    <mergeCell ref="G207:J207"/>
    <mergeCell ref="G208:J208"/>
    <mergeCell ref="A211:L211"/>
    <mergeCell ref="A212:C212"/>
    <mergeCell ref="D212:L212"/>
    <mergeCell ref="B202:D202"/>
    <mergeCell ref="G202:H202"/>
    <mergeCell ref="K202:L202"/>
    <mergeCell ref="B203:D203"/>
    <mergeCell ref="B204:D204"/>
    <mergeCell ref="B205:D205"/>
    <mergeCell ref="B198:D198"/>
    <mergeCell ref="I198:J198"/>
    <mergeCell ref="B199:D199"/>
    <mergeCell ref="A200:L200"/>
    <mergeCell ref="C201:D201"/>
    <mergeCell ref="J201:L201"/>
    <mergeCell ref="A195:L195"/>
    <mergeCell ref="C196:D196"/>
    <mergeCell ref="J196:L196"/>
    <mergeCell ref="B197:D197"/>
    <mergeCell ref="I197:J197"/>
    <mergeCell ref="K197:L197"/>
    <mergeCell ref="B192:D192"/>
    <mergeCell ref="I192:J192"/>
    <mergeCell ref="K192:L192"/>
    <mergeCell ref="B193:D193"/>
    <mergeCell ref="I193:J193"/>
    <mergeCell ref="B194:D194"/>
    <mergeCell ref="E194:H194"/>
    <mergeCell ref="A188:C188"/>
    <mergeCell ref="D188:L188"/>
    <mergeCell ref="A189:C189"/>
    <mergeCell ref="D189:L189"/>
    <mergeCell ref="A190:L190"/>
    <mergeCell ref="C191:D191"/>
    <mergeCell ref="J191:L191"/>
    <mergeCell ref="A185:C185"/>
    <mergeCell ref="D185:L185"/>
    <mergeCell ref="A186:C186"/>
    <mergeCell ref="D186:L186"/>
    <mergeCell ref="A187:C187"/>
    <mergeCell ref="D187:L187"/>
    <mergeCell ref="A182:C182"/>
    <mergeCell ref="D182:L182"/>
    <mergeCell ref="A183:C183"/>
    <mergeCell ref="D183:L183"/>
    <mergeCell ref="A184:C184"/>
    <mergeCell ref="D184:L184"/>
    <mergeCell ref="F176:F177"/>
    <mergeCell ref="G176:J176"/>
    <mergeCell ref="G177:J177"/>
    <mergeCell ref="A180:L180"/>
    <mergeCell ref="A181:C181"/>
    <mergeCell ref="D181:L181"/>
    <mergeCell ref="B166:D166"/>
    <mergeCell ref="B167:D167"/>
    <mergeCell ref="B169:D169"/>
    <mergeCell ref="B171:D171"/>
    <mergeCell ref="B172:D172"/>
    <mergeCell ref="B174:D174"/>
    <mergeCell ref="A162:C162"/>
    <mergeCell ref="D162:L162"/>
    <mergeCell ref="A163:L163"/>
    <mergeCell ref="C164:D164"/>
    <mergeCell ref="J164:L164"/>
    <mergeCell ref="G165:H165"/>
    <mergeCell ref="K165:L165"/>
    <mergeCell ref="A159:C159"/>
    <mergeCell ref="D159:L159"/>
    <mergeCell ref="A160:C160"/>
    <mergeCell ref="D160:L160"/>
    <mergeCell ref="A161:C161"/>
    <mergeCell ref="D161:L161"/>
    <mergeCell ref="A156:C156"/>
    <mergeCell ref="D156:L156"/>
    <mergeCell ref="A157:C157"/>
    <mergeCell ref="D157:L157"/>
    <mergeCell ref="A158:C158"/>
    <mergeCell ref="D158:L158"/>
    <mergeCell ref="F150:F151"/>
    <mergeCell ref="G150:J150"/>
    <mergeCell ref="G151:J151"/>
    <mergeCell ref="A154:L154"/>
    <mergeCell ref="A155:C155"/>
    <mergeCell ref="D155:L155"/>
    <mergeCell ref="B146:D146"/>
    <mergeCell ref="G146:H146"/>
    <mergeCell ref="K146:L146"/>
    <mergeCell ref="B147:D147"/>
    <mergeCell ref="B148:D148"/>
    <mergeCell ref="B149:D149"/>
    <mergeCell ref="F140:F141"/>
    <mergeCell ref="G140:J140"/>
    <mergeCell ref="G141:J141"/>
    <mergeCell ref="A144:L144"/>
    <mergeCell ref="C145:D145"/>
    <mergeCell ref="J145:L145"/>
    <mergeCell ref="B136:D136"/>
    <mergeCell ref="G136:H136"/>
    <mergeCell ref="K136:L136"/>
    <mergeCell ref="B137:D137"/>
    <mergeCell ref="B138:D138"/>
    <mergeCell ref="B139:D139"/>
    <mergeCell ref="B130:D130"/>
    <mergeCell ref="I130:J130"/>
    <mergeCell ref="A133:L133"/>
    <mergeCell ref="A134:L134"/>
    <mergeCell ref="J135:L135"/>
    <mergeCell ref="A127:L127"/>
    <mergeCell ref="C128:D128"/>
    <mergeCell ref="J128:L128"/>
    <mergeCell ref="B129:D129"/>
    <mergeCell ref="I129:J129"/>
    <mergeCell ref="K129:L129"/>
    <mergeCell ref="A132:L132"/>
    <mergeCell ref="B121:D121"/>
    <mergeCell ref="F123:F124"/>
    <mergeCell ref="G123:J123"/>
    <mergeCell ref="B124:D124"/>
    <mergeCell ref="G124:J124"/>
    <mergeCell ref="C118:D118"/>
    <mergeCell ref="J118:L118"/>
    <mergeCell ref="B119:D119"/>
    <mergeCell ref="G119:H119"/>
    <mergeCell ref="K119:L119"/>
    <mergeCell ref="B120:D120"/>
    <mergeCell ref="B114:D114"/>
    <mergeCell ref="I114:J114"/>
    <mergeCell ref="I115:J115"/>
    <mergeCell ref="B116:D116"/>
    <mergeCell ref="A117:L117"/>
    <mergeCell ref="B112:D112"/>
    <mergeCell ref="I112:J112"/>
    <mergeCell ref="K112:L112"/>
    <mergeCell ref="B113:D113"/>
    <mergeCell ref="I113:J113"/>
    <mergeCell ref="B108:D108"/>
    <mergeCell ref="I108:J108"/>
    <mergeCell ref="B109:D109"/>
    <mergeCell ref="E109:H109"/>
    <mergeCell ref="A110:L110"/>
    <mergeCell ref="C111:D111"/>
    <mergeCell ref="J111:L111"/>
    <mergeCell ref="A105:L105"/>
    <mergeCell ref="C106:D106"/>
    <mergeCell ref="J106:L106"/>
    <mergeCell ref="B107:D107"/>
    <mergeCell ref="I107:J107"/>
    <mergeCell ref="K107:L107"/>
    <mergeCell ref="B102:D102"/>
    <mergeCell ref="I102:J102"/>
    <mergeCell ref="K102:L102"/>
    <mergeCell ref="B103:D103"/>
    <mergeCell ref="I103:J103"/>
    <mergeCell ref="B104:D104"/>
    <mergeCell ref="E104:H104"/>
    <mergeCell ref="B98:D98"/>
    <mergeCell ref="I98:J98"/>
    <mergeCell ref="B99:D99"/>
    <mergeCell ref="E99:H99"/>
    <mergeCell ref="A100:L100"/>
    <mergeCell ref="C101:D101"/>
    <mergeCell ref="J101:L101"/>
    <mergeCell ref="C96:D96"/>
    <mergeCell ref="J96:L96"/>
    <mergeCell ref="B97:D97"/>
    <mergeCell ref="I97:J97"/>
    <mergeCell ref="K97:L97"/>
    <mergeCell ref="B93:D93"/>
    <mergeCell ref="I93:J93"/>
    <mergeCell ref="A94:D94"/>
    <mergeCell ref="E94:H94"/>
    <mergeCell ref="A95:L95"/>
    <mergeCell ref="B89:D89"/>
    <mergeCell ref="E89:H89"/>
    <mergeCell ref="A90:L90"/>
    <mergeCell ref="C91:D91"/>
    <mergeCell ref="J91:L91"/>
    <mergeCell ref="B92:D92"/>
    <mergeCell ref="I92:J92"/>
    <mergeCell ref="K92:L92"/>
    <mergeCell ref="C86:D86"/>
    <mergeCell ref="J86:L86"/>
    <mergeCell ref="B87:D87"/>
    <mergeCell ref="I87:J87"/>
    <mergeCell ref="K87:L87"/>
    <mergeCell ref="B88:D88"/>
    <mergeCell ref="I88:J88"/>
    <mergeCell ref="B83:D83"/>
    <mergeCell ref="I83:J83"/>
    <mergeCell ref="B84:D84"/>
    <mergeCell ref="E84:H84"/>
    <mergeCell ref="A85:L85"/>
    <mergeCell ref="A80:L80"/>
    <mergeCell ref="C81:D81"/>
    <mergeCell ref="J81:L81"/>
    <mergeCell ref="B82:D82"/>
    <mergeCell ref="I82:J82"/>
    <mergeCell ref="K82:L82"/>
    <mergeCell ref="B74:D74"/>
    <mergeCell ref="G74:H74"/>
    <mergeCell ref="K74:L74"/>
    <mergeCell ref="B75:D75"/>
    <mergeCell ref="F76:F77"/>
    <mergeCell ref="G76:J76"/>
    <mergeCell ref="G77:J77"/>
    <mergeCell ref="B70:D70"/>
    <mergeCell ref="I70:J70"/>
    <mergeCell ref="B71:D71"/>
    <mergeCell ref="E71:H71"/>
    <mergeCell ref="A72:L72"/>
    <mergeCell ref="C73:D73"/>
    <mergeCell ref="J73:L73"/>
    <mergeCell ref="A67:L67"/>
    <mergeCell ref="A64:C64"/>
    <mergeCell ref="D64:L64"/>
    <mergeCell ref="A65:C65"/>
    <mergeCell ref="D65:L65"/>
    <mergeCell ref="A66:C66"/>
    <mergeCell ref="D66:L66"/>
    <mergeCell ref="A61:C61"/>
    <mergeCell ref="D61:L61"/>
    <mergeCell ref="A62:C62"/>
    <mergeCell ref="D62:L62"/>
    <mergeCell ref="A63:C63"/>
    <mergeCell ref="D63:L63"/>
    <mergeCell ref="C68:D68"/>
    <mergeCell ref="J68:L68"/>
    <mergeCell ref="B69:D69"/>
    <mergeCell ref="I69:J69"/>
    <mergeCell ref="K69:L69"/>
    <mergeCell ref="A57:L57"/>
    <mergeCell ref="A58:C58"/>
    <mergeCell ref="D58:L58"/>
    <mergeCell ref="A59:C59"/>
    <mergeCell ref="D59:L59"/>
    <mergeCell ref="A60:C60"/>
    <mergeCell ref="D60:L60"/>
    <mergeCell ref="B51:D51"/>
    <mergeCell ref="B52:D52"/>
    <mergeCell ref="B53:D53"/>
    <mergeCell ref="I54:J54"/>
    <mergeCell ref="A55:F55"/>
    <mergeCell ref="I55:J55"/>
    <mergeCell ref="A47:L47"/>
    <mergeCell ref="C48:D48"/>
    <mergeCell ref="J48:L48"/>
    <mergeCell ref="C49:D49"/>
    <mergeCell ref="K49:L49"/>
    <mergeCell ref="B50:D50"/>
    <mergeCell ref="A56:F56"/>
    <mergeCell ref="B41:D41"/>
    <mergeCell ref="G41:H41"/>
    <mergeCell ref="K41:L41"/>
    <mergeCell ref="B42:D42"/>
    <mergeCell ref="B43:D43"/>
    <mergeCell ref="F43:F44"/>
    <mergeCell ref="G43:J43"/>
    <mergeCell ref="G44:J44"/>
    <mergeCell ref="I41:J41"/>
    <mergeCell ref="I42:J42"/>
    <mergeCell ref="B37:D37"/>
    <mergeCell ref="I37:J37"/>
    <mergeCell ref="B38:D38"/>
    <mergeCell ref="E38:H38"/>
    <mergeCell ref="A39:L39"/>
    <mergeCell ref="J40:L40"/>
    <mergeCell ref="A33:C33"/>
    <mergeCell ref="D33:L33"/>
    <mergeCell ref="A34:L34"/>
    <mergeCell ref="C35:D35"/>
    <mergeCell ref="J35:L35"/>
    <mergeCell ref="B36:D36"/>
    <mergeCell ref="I36:J36"/>
    <mergeCell ref="K36:L36"/>
    <mergeCell ref="A30:C30"/>
    <mergeCell ref="D30:L30"/>
    <mergeCell ref="A31:C31"/>
    <mergeCell ref="D31:L31"/>
    <mergeCell ref="A32:C32"/>
    <mergeCell ref="D32:L32"/>
    <mergeCell ref="A27:C27"/>
    <mergeCell ref="D27:L27"/>
    <mergeCell ref="A28:C28"/>
    <mergeCell ref="D28:L28"/>
    <mergeCell ref="A29:C29"/>
    <mergeCell ref="D29:L29"/>
    <mergeCell ref="B22:D22"/>
    <mergeCell ref="A24:L24"/>
    <mergeCell ref="A25:C25"/>
    <mergeCell ref="D25:L25"/>
    <mergeCell ref="A26:C26"/>
    <mergeCell ref="D26:L26"/>
    <mergeCell ref="B19:D19"/>
    <mergeCell ref="G19:H19"/>
    <mergeCell ref="I19:J19"/>
    <mergeCell ref="F20:F21"/>
    <mergeCell ref="G20:J20"/>
    <mergeCell ref="G21:J21"/>
    <mergeCell ref="B15:D15"/>
    <mergeCell ref="E15:H15"/>
    <mergeCell ref="A16:L16"/>
    <mergeCell ref="C17:D17"/>
    <mergeCell ref="J17:L17"/>
    <mergeCell ref="B18:D18"/>
    <mergeCell ref="G18:H18"/>
    <mergeCell ref="I18:J18"/>
    <mergeCell ref="K18:L18"/>
    <mergeCell ref="B13:D13"/>
    <mergeCell ref="I13:J13"/>
    <mergeCell ref="K13:L13"/>
    <mergeCell ref="B14:D14"/>
    <mergeCell ref="I14:J14"/>
    <mergeCell ref="A1:L1"/>
    <mergeCell ref="A2:L2"/>
    <mergeCell ref="A3:L3"/>
    <mergeCell ref="A4:L4"/>
    <mergeCell ref="A5:L5"/>
    <mergeCell ref="B9:D9"/>
    <mergeCell ref="I9:J9"/>
    <mergeCell ref="B10:D10"/>
    <mergeCell ref="E10:H10"/>
    <mergeCell ref="A11:L11"/>
    <mergeCell ref="C12:D12"/>
    <mergeCell ref="J12:L12"/>
    <mergeCell ref="A6:L6"/>
    <mergeCell ref="C7:D7"/>
    <mergeCell ref="J7:L7"/>
    <mergeCell ref="B8:D8"/>
    <mergeCell ref="I8:J8"/>
    <mergeCell ref="K8:L8"/>
    <mergeCell ref="B4412:D4412"/>
    <mergeCell ref="A2052:L2052"/>
    <mergeCell ref="G2049:J2049"/>
    <mergeCell ref="G2048:J2048"/>
    <mergeCell ref="F2048:F2049"/>
    <mergeCell ref="B2047:E2047"/>
    <mergeCell ref="B3410:D3410"/>
    <mergeCell ref="B3439:D3439"/>
    <mergeCell ref="B3440:D3440"/>
    <mergeCell ref="B3728:D3728"/>
    <mergeCell ref="B3738:D3738"/>
    <mergeCell ref="B3851:D3851"/>
    <mergeCell ref="B3852:D3852"/>
    <mergeCell ref="B3853:D3853"/>
    <mergeCell ref="B4117:D4117"/>
    <mergeCell ref="A242:L242"/>
    <mergeCell ref="I523:J523"/>
    <mergeCell ref="B2071:D2071"/>
    <mergeCell ref="C2934:D2934"/>
    <mergeCell ref="J2934:L2934"/>
    <mergeCell ref="B2935:D2935"/>
    <mergeCell ref="G2935:H2935"/>
    <mergeCell ref="K2935:L2935"/>
    <mergeCell ref="B2936:D2936"/>
    <mergeCell ref="F2937:F2938"/>
    <mergeCell ref="G2937:J2937"/>
    <mergeCell ref="G2938:J2938"/>
    <mergeCell ref="A2941:L2941"/>
    <mergeCell ref="B1618:D1618"/>
    <mergeCell ref="B1766:D1766"/>
    <mergeCell ref="B1756:D1756"/>
    <mergeCell ref="C244:D244"/>
  </mergeCells>
  <conditionalFormatting sqref="P156:P165">
    <cfRule type="duplicateValues" dxfId="180" priority="162"/>
  </conditionalFormatting>
  <conditionalFormatting sqref="P2563:P2566">
    <cfRule type="duplicateValues" dxfId="179" priority="161"/>
  </conditionalFormatting>
  <conditionalFormatting sqref="P2471:P2472">
    <cfRule type="duplicateValues" dxfId="178" priority="160"/>
  </conditionalFormatting>
  <conditionalFormatting sqref="P2818">
    <cfRule type="duplicateValues" dxfId="177" priority="159"/>
  </conditionalFormatting>
  <conditionalFormatting sqref="P2826:P2827">
    <cfRule type="duplicateValues" dxfId="176" priority="158"/>
  </conditionalFormatting>
  <conditionalFormatting sqref="P2831:P2833">
    <cfRule type="duplicateValues" dxfId="175" priority="157"/>
  </conditionalFormatting>
  <conditionalFormatting sqref="P313:P314">
    <cfRule type="duplicateValues" dxfId="174" priority="156"/>
  </conditionalFormatting>
  <conditionalFormatting sqref="P410:P411">
    <cfRule type="duplicateValues" dxfId="173" priority="155"/>
  </conditionalFormatting>
  <conditionalFormatting sqref="P425:P426">
    <cfRule type="duplicateValues" dxfId="172" priority="154"/>
  </conditionalFormatting>
  <conditionalFormatting sqref="P430:P431">
    <cfRule type="duplicateValues" dxfId="171" priority="153"/>
  </conditionalFormatting>
  <conditionalFormatting sqref="P523:P524">
    <cfRule type="duplicateValues" dxfId="170" priority="152"/>
  </conditionalFormatting>
  <conditionalFormatting sqref="P548:P549">
    <cfRule type="duplicateValues" dxfId="169" priority="151"/>
  </conditionalFormatting>
  <conditionalFormatting sqref="P570:P571">
    <cfRule type="duplicateValues" dxfId="168" priority="150"/>
  </conditionalFormatting>
  <conditionalFormatting sqref="P618:P619">
    <cfRule type="duplicateValues" dxfId="167" priority="149"/>
  </conditionalFormatting>
  <conditionalFormatting sqref="P671:P672">
    <cfRule type="duplicateValues" dxfId="166" priority="148"/>
  </conditionalFormatting>
  <conditionalFormatting sqref="P676:P677">
    <cfRule type="duplicateValues" dxfId="165" priority="147"/>
  </conditionalFormatting>
  <conditionalFormatting sqref="P716:P717">
    <cfRule type="duplicateValues" dxfId="164" priority="146"/>
  </conditionalFormatting>
  <conditionalFormatting sqref="P802:P804">
    <cfRule type="duplicateValues" dxfId="163" priority="145"/>
  </conditionalFormatting>
  <conditionalFormatting sqref="P827:P828">
    <cfRule type="duplicateValues" dxfId="162" priority="144"/>
  </conditionalFormatting>
  <conditionalFormatting sqref="P838:P839">
    <cfRule type="duplicateValues" dxfId="161" priority="143"/>
  </conditionalFormatting>
  <conditionalFormatting sqref="P859:P860">
    <cfRule type="duplicateValues" dxfId="160" priority="142"/>
  </conditionalFormatting>
  <conditionalFormatting sqref="P864:P865">
    <cfRule type="duplicateValues" dxfId="159" priority="141"/>
  </conditionalFormatting>
  <conditionalFormatting sqref="P870:P871">
    <cfRule type="duplicateValues" dxfId="158" priority="140"/>
  </conditionalFormatting>
  <conditionalFormatting sqref="P1519:P1520">
    <cfRule type="duplicateValues" dxfId="157" priority="139"/>
  </conditionalFormatting>
  <conditionalFormatting sqref="P1714:P1715">
    <cfRule type="duplicateValues" dxfId="156" priority="137"/>
  </conditionalFormatting>
  <conditionalFormatting sqref="P1818:P1819">
    <cfRule type="duplicateValues" dxfId="155" priority="136"/>
  </conditionalFormatting>
  <conditionalFormatting sqref="P1846:P1847">
    <cfRule type="duplicateValues" dxfId="154" priority="135"/>
  </conditionalFormatting>
  <conditionalFormatting sqref="P1851:P1852">
    <cfRule type="duplicateValues" dxfId="153" priority="134"/>
  </conditionalFormatting>
  <conditionalFormatting sqref="P2009:P2010">
    <cfRule type="duplicateValues" dxfId="152" priority="133"/>
  </conditionalFormatting>
  <conditionalFormatting sqref="P2125:P2126">
    <cfRule type="duplicateValues" dxfId="151" priority="132"/>
  </conditionalFormatting>
  <conditionalFormatting sqref="P2134:P2135">
    <cfRule type="duplicateValues" dxfId="150" priority="131"/>
  </conditionalFormatting>
  <conditionalFormatting sqref="P2363:P2364">
    <cfRule type="duplicateValues" dxfId="149" priority="130"/>
  </conditionalFormatting>
  <conditionalFormatting sqref="P2371:P2372">
    <cfRule type="duplicateValues" dxfId="148" priority="129"/>
  </conditionalFormatting>
  <conditionalFormatting sqref="P2466:P2467">
    <cfRule type="duplicateValues" dxfId="147" priority="128"/>
  </conditionalFormatting>
  <conditionalFormatting sqref="P2489:P2490">
    <cfRule type="duplicateValues" dxfId="146" priority="127"/>
  </conditionalFormatting>
  <conditionalFormatting sqref="P2494:P2495">
    <cfRule type="duplicateValues" dxfId="145" priority="126"/>
  </conditionalFormatting>
  <conditionalFormatting sqref="P2821:P2822">
    <cfRule type="duplicateValues" dxfId="144" priority="125"/>
  </conditionalFormatting>
  <conditionalFormatting sqref="P2838:P2839">
    <cfRule type="duplicateValues" dxfId="143" priority="124"/>
  </conditionalFormatting>
  <conditionalFormatting sqref="P3490:P3491">
    <cfRule type="duplicateValues" dxfId="142" priority="123"/>
  </conditionalFormatting>
  <conditionalFormatting sqref="P3628:P3629">
    <cfRule type="duplicateValues" dxfId="141" priority="122"/>
  </conditionalFormatting>
  <conditionalFormatting sqref="P3678:P3679">
    <cfRule type="duplicateValues" dxfId="140" priority="121"/>
  </conditionalFormatting>
  <conditionalFormatting sqref="P3710:P3711">
    <cfRule type="duplicateValues" dxfId="139" priority="120"/>
  </conditionalFormatting>
  <conditionalFormatting sqref="P3904:P3906 P3790:P3791">
    <cfRule type="duplicateValues" dxfId="138" priority="119"/>
  </conditionalFormatting>
  <conditionalFormatting sqref="P3948:P3949 P3958:P3960">
    <cfRule type="duplicateValues" dxfId="137" priority="118"/>
  </conditionalFormatting>
  <conditionalFormatting sqref="P4011:P4012 P3967:P3968">
    <cfRule type="duplicateValues" dxfId="136" priority="163"/>
  </conditionalFormatting>
  <conditionalFormatting sqref="P4174:P4176 P4071:P4072">
    <cfRule type="duplicateValues" dxfId="135" priority="117"/>
  </conditionalFormatting>
  <conditionalFormatting sqref="P4300:P4302 P4180:P4181">
    <cfRule type="duplicateValues" dxfId="134" priority="116"/>
  </conditionalFormatting>
  <conditionalFormatting sqref="P4306:P4312">
    <cfRule type="duplicateValues" dxfId="133" priority="115"/>
  </conditionalFormatting>
  <conditionalFormatting sqref="P4382:P4385 P4314:P4315">
    <cfRule type="duplicateValues" dxfId="132" priority="164"/>
  </conditionalFormatting>
  <conditionalFormatting sqref="P369:P373">
    <cfRule type="duplicateValues" dxfId="131" priority="165"/>
  </conditionalFormatting>
  <conditionalFormatting sqref="P384 P376:P382">
    <cfRule type="duplicateValues" dxfId="130" priority="114"/>
  </conditionalFormatting>
  <conditionalFormatting sqref="P383">
    <cfRule type="duplicateValues" dxfId="129" priority="113"/>
  </conditionalFormatting>
  <conditionalFormatting sqref="P638:P639">
    <cfRule type="duplicateValues" dxfId="128" priority="111"/>
  </conditionalFormatting>
  <conditionalFormatting sqref="P4589:P4602">
    <cfRule type="duplicateValues" dxfId="127" priority="110"/>
  </conditionalFormatting>
  <conditionalFormatting sqref="P2468">
    <cfRule type="duplicateValues" dxfId="126" priority="166"/>
  </conditionalFormatting>
  <conditionalFormatting sqref="R28:R43 P23:P26 P44:P47 R8:R22 P65:P71 R49:R64">
    <cfRule type="duplicateValues" dxfId="125" priority="108"/>
  </conditionalFormatting>
  <conditionalFormatting sqref="R74:R86 P94:P97 P72">
    <cfRule type="duplicateValues" dxfId="124" priority="109"/>
  </conditionalFormatting>
  <conditionalFormatting sqref="R89:R93 P87">
    <cfRule type="duplicateValues" dxfId="123" priority="107"/>
  </conditionalFormatting>
  <conditionalFormatting sqref="P308:P309">
    <cfRule type="duplicateValues" dxfId="122" priority="106"/>
  </conditionalFormatting>
  <conditionalFormatting sqref="P336:P337">
    <cfRule type="duplicateValues" dxfId="121" priority="105"/>
  </conditionalFormatting>
  <conditionalFormatting sqref="P400:P401">
    <cfRule type="duplicateValues" dxfId="120" priority="104"/>
  </conditionalFormatting>
  <conditionalFormatting sqref="P415:P416">
    <cfRule type="duplicateValues" dxfId="119" priority="103"/>
  </conditionalFormatting>
  <conditionalFormatting sqref="P420:P421">
    <cfRule type="duplicateValues" dxfId="118" priority="102"/>
  </conditionalFormatting>
  <conditionalFormatting sqref="P518:P519">
    <cfRule type="duplicateValues" dxfId="117" priority="101"/>
  </conditionalFormatting>
  <conditionalFormatting sqref="P773:P774">
    <cfRule type="duplicateValues" dxfId="116" priority="100"/>
  </conditionalFormatting>
  <conditionalFormatting sqref="P787:P788">
    <cfRule type="duplicateValues" dxfId="115" priority="99"/>
  </conditionalFormatting>
  <conditionalFormatting sqref="P792:P793">
    <cfRule type="duplicateValues" dxfId="114" priority="98"/>
  </conditionalFormatting>
  <conditionalFormatting sqref="P807:P808">
    <cfRule type="duplicateValues" dxfId="113" priority="97"/>
  </conditionalFormatting>
  <conditionalFormatting sqref="P817:P818">
    <cfRule type="duplicateValues" dxfId="112" priority="96"/>
  </conditionalFormatting>
  <conditionalFormatting sqref="P812:P813">
    <cfRule type="duplicateValues" dxfId="111" priority="95"/>
  </conditionalFormatting>
  <conditionalFormatting sqref="P833:P834">
    <cfRule type="duplicateValues" dxfId="110" priority="94"/>
  </conditionalFormatting>
  <conditionalFormatting sqref="P1456:P1457">
    <cfRule type="duplicateValues" dxfId="109" priority="93"/>
  </conditionalFormatting>
  <conditionalFormatting sqref="P1501:P1502">
    <cfRule type="duplicateValues" dxfId="108" priority="92"/>
  </conditionalFormatting>
  <conditionalFormatting sqref="P1511:P1512">
    <cfRule type="duplicateValues" dxfId="107" priority="91"/>
  </conditionalFormatting>
  <conditionalFormatting sqref="P1509:P1510">
    <cfRule type="duplicateValues" dxfId="106" priority="167"/>
  </conditionalFormatting>
  <conditionalFormatting sqref="P1653:P1654">
    <cfRule type="duplicateValues" dxfId="105" priority="90"/>
  </conditionalFormatting>
  <conditionalFormatting sqref="P1690:P1691">
    <cfRule type="duplicateValues" dxfId="104" priority="89"/>
  </conditionalFormatting>
  <conditionalFormatting sqref="P1685:P1686">
    <cfRule type="duplicateValues" dxfId="103" priority="88"/>
  </conditionalFormatting>
  <conditionalFormatting sqref="P1695:P1696">
    <cfRule type="duplicateValues" dxfId="102" priority="87"/>
  </conditionalFormatting>
  <conditionalFormatting sqref="P1700:P1701">
    <cfRule type="duplicateValues" dxfId="101" priority="86"/>
  </conditionalFormatting>
  <conditionalFormatting sqref="P1524:P1525">
    <cfRule type="duplicateValues" dxfId="100" priority="168"/>
  </conditionalFormatting>
  <conditionalFormatting sqref="P1716:P1717">
    <cfRule type="duplicateValues" dxfId="99" priority="85"/>
  </conditionalFormatting>
  <conditionalFormatting sqref="P1828:P1829">
    <cfRule type="duplicateValues" dxfId="98" priority="84"/>
  </conditionalFormatting>
  <conditionalFormatting sqref="P1833:P1834">
    <cfRule type="duplicateValues" dxfId="97" priority="83"/>
  </conditionalFormatting>
  <conditionalFormatting sqref="P1838:P1839">
    <cfRule type="duplicateValues" dxfId="96" priority="169"/>
  </conditionalFormatting>
  <conditionalFormatting sqref="P2555:P2556">
    <cfRule type="duplicateValues" dxfId="95" priority="82"/>
  </conditionalFormatting>
  <conditionalFormatting sqref="P2509:P2510">
    <cfRule type="duplicateValues" dxfId="94" priority="170"/>
  </conditionalFormatting>
  <conditionalFormatting sqref="P2597 O2596">
    <cfRule type="duplicateValues" dxfId="93" priority="81"/>
  </conditionalFormatting>
  <conditionalFormatting sqref="P2606:P2607">
    <cfRule type="duplicateValues" dxfId="92" priority="171"/>
  </conditionalFormatting>
  <conditionalFormatting sqref="P2568:P2569">
    <cfRule type="duplicateValues" dxfId="91" priority="172"/>
  </conditionalFormatting>
  <conditionalFormatting sqref="P2655:P2656">
    <cfRule type="duplicateValues" dxfId="90" priority="80"/>
  </conditionalFormatting>
  <conditionalFormatting sqref="P2609:P2610">
    <cfRule type="duplicateValues" dxfId="89" priority="173"/>
  </conditionalFormatting>
  <conditionalFormatting sqref="P2767:P2768">
    <cfRule type="duplicateValues" dxfId="88" priority="79"/>
  </conditionalFormatting>
  <conditionalFormatting sqref="P2697:P2698">
    <cfRule type="duplicateValues" dxfId="87" priority="174"/>
  </conditionalFormatting>
  <conditionalFormatting sqref="P2772:P2773">
    <cfRule type="duplicateValues" dxfId="86" priority="78"/>
  </conditionalFormatting>
  <conditionalFormatting sqref="P2771">
    <cfRule type="duplicateValues" dxfId="85" priority="175"/>
  </conditionalFormatting>
  <conditionalFormatting sqref="P2787:P2788">
    <cfRule type="duplicateValues" dxfId="84" priority="77"/>
  </conditionalFormatting>
  <conditionalFormatting sqref="P2792:P2793">
    <cfRule type="duplicateValues" dxfId="83" priority="76"/>
  </conditionalFormatting>
  <conditionalFormatting sqref="P2777:P2778">
    <cfRule type="duplicateValues" dxfId="82" priority="75"/>
  </conditionalFormatting>
  <conditionalFormatting sqref="P2782:P2783">
    <cfRule type="duplicateValues" dxfId="81" priority="74"/>
  </conditionalFormatting>
  <conditionalFormatting sqref="P2928:P2929">
    <cfRule type="duplicateValues" dxfId="80" priority="73"/>
  </conditionalFormatting>
  <conditionalFormatting sqref="P2933:P2934">
    <cfRule type="duplicateValues" dxfId="79" priority="72"/>
  </conditionalFormatting>
  <conditionalFormatting sqref="P2938:P2939">
    <cfRule type="duplicateValues" dxfId="78" priority="71"/>
  </conditionalFormatting>
  <conditionalFormatting sqref="P2943:P2944">
    <cfRule type="duplicateValues" dxfId="77" priority="70"/>
  </conditionalFormatting>
  <conditionalFormatting sqref="P2971:P2972">
    <cfRule type="duplicateValues" dxfId="76" priority="69"/>
  </conditionalFormatting>
  <conditionalFormatting sqref="P2976:P2977">
    <cfRule type="duplicateValues" dxfId="75" priority="68"/>
  </conditionalFormatting>
  <conditionalFormatting sqref="P3042:P3043">
    <cfRule type="duplicateValues" dxfId="74" priority="67"/>
  </conditionalFormatting>
  <conditionalFormatting sqref="P3047:P3048">
    <cfRule type="duplicateValues" dxfId="73" priority="66"/>
  </conditionalFormatting>
  <conditionalFormatting sqref="P4527:P4528">
    <cfRule type="duplicateValues" dxfId="72" priority="64"/>
  </conditionalFormatting>
  <conditionalFormatting sqref="P4388:P4389">
    <cfRule type="duplicateValues" dxfId="71" priority="176"/>
  </conditionalFormatting>
  <conditionalFormatting sqref="P136:P153 P98 P113 O127:O135 P125:P126">
    <cfRule type="duplicateValues" dxfId="70" priority="177"/>
  </conditionalFormatting>
  <conditionalFormatting sqref="P168 R170 P191:P195 R172:R177">
    <cfRule type="duplicateValues" dxfId="69" priority="63"/>
  </conditionalFormatting>
  <conditionalFormatting sqref="P178 R184:R190">
    <cfRule type="duplicateValues" dxfId="68" priority="62"/>
  </conditionalFormatting>
  <conditionalFormatting sqref="R171">
    <cfRule type="duplicateValues" dxfId="67" priority="61"/>
  </conditionalFormatting>
  <conditionalFormatting sqref="P196:P199 P201:P203">
    <cfRule type="duplicateValues" dxfId="66" priority="178"/>
  </conditionalFormatting>
  <conditionalFormatting sqref="R200">
    <cfRule type="duplicateValues" dxfId="65" priority="60"/>
  </conditionalFormatting>
  <conditionalFormatting sqref="O3968:O3984 P3988:P3992 P3969:P3970">
    <cfRule type="duplicateValues" dxfId="64" priority="59"/>
  </conditionalFormatting>
  <conditionalFormatting sqref="O3992:O4002 P4006:P4010 P3993:P3994">
    <cfRule type="duplicateValues" dxfId="63" priority="58"/>
  </conditionalFormatting>
  <conditionalFormatting sqref="P318:P319">
    <cfRule type="duplicateValues" dxfId="62" priority="57"/>
  </conditionalFormatting>
  <conditionalFormatting sqref="P1455">
    <cfRule type="duplicateValues" dxfId="61" priority="56"/>
  </conditionalFormatting>
  <conditionalFormatting sqref="P1680:P1681">
    <cfRule type="duplicateValues" dxfId="60" priority="55"/>
  </conditionalFormatting>
  <conditionalFormatting sqref="P1813:P1814">
    <cfRule type="duplicateValues" dxfId="59" priority="54"/>
  </conditionalFormatting>
  <conditionalFormatting sqref="P2601:P2602">
    <cfRule type="duplicateValues" dxfId="58" priority="53"/>
  </conditionalFormatting>
  <conditionalFormatting sqref="P4016">
    <cfRule type="duplicateValues" dxfId="57" priority="52"/>
  </conditionalFormatting>
  <conditionalFormatting sqref="P4017">
    <cfRule type="duplicateValues" dxfId="56" priority="51"/>
  </conditionalFormatting>
  <conditionalFormatting sqref="P3083:P3084">
    <cfRule type="duplicateValues" dxfId="55" priority="50"/>
  </conditionalFormatting>
  <conditionalFormatting sqref="P3078:P3079">
    <cfRule type="duplicateValues" dxfId="54" priority="180"/>
  </conditionalFormatting>
  <conditionalFormatting sqref="P3381:P3382">
    <cfRule type="duplicateValues" dxfId="53" priority="49"/>
  </conditionalFormatting>
  <conditionalFormatting sqref="P3359:P3360">
    <cfRule type="duplicateValues" dxfId="52" priority="181"/>
  </conditionalFormatting>
  <conditionalFormatting sqref="P3406:P3407">
    <cfRule type="duplicateValues" dxfId="51" priority="48"/>
  </conditionalFormatting>
  <conditionalFormatting sqref="P3591:P3592">
    <cfRule type="duplicateValues" dxfId="50" priority="47"/>
  </conditionalFormatting>
  <conditionalFormatting sqref="P3495:P3496">
    <cfRule type="duplicateValues" dxfId="49" priority="182"/>
  </conditionalFormatting>
  <conditionalFormatting sqref="P3943:P3944 P3913:P3914">
    <cfRule type="duplicateValues" dxfId="48" priority="183"/>
  </conditionalFormatting>
  <conditionalFormatting sqref="R274">
    <cfRule type="duplicateValues" dxfId="47" priority="41"/>
  </conditionalFormatting>
  <conditionalFormatting sqref="P270:P273 P275:P280">
    <cfRule type="duplicateValues" dxfId="46" priority="185"/>
  </conditionalFormatting>
  <conditionalFormatting sqref="R287">
    <cfRule type="duplicateValues" dxfId="45" priority="39"/>
  </conditionalFormatting>
  <conditionalFormatting sqref="P283:P286 P288:P293">
    <cfRule type="duplicateValues" dxfId="44" priority="40"/>
  </conditionalFormatting>
  <conditionalFormatting sqref="R300">
    <cfRule type="duplicateValues" dxfId="43" priority="38"/>
  </conditionalFormatting>
  <conditionalFormatting sqref="P296:P299 P301:P305">
    <cfRule type="duplicateValues" dxfId="42" priority="186"/>
  </conditionalFormatting>
  <conditionalFormatting sqref="R2440">
    <cfRule type="duplicateValues" dxfId="41" priority="31"/>
  </conditionalFormatting>
  <conditionalFormatting sqref="P2436:P2439 P2441:P2447">
    <cfRule type="duplicateValues" dxfId="40" priority="187"/>
  </conditionalFormatting>
  <conditionalFormatting sqref="P822:P823">
    <cfRule type="duplicateValues" dxfId="39" priority="30"/>
  </conditionalFormatting>
  <conditionalFormatting sqref="P4356:P4357 P4365:P4367">
    <cfRule type="duplicateValues" dxfId="38" priority="28"/>
  </conditionalFormatting>
  <conditionalFormatting sqref="P4380:P4381">
    <cfRule type="duplicateValues" dxfId="37" priority="29"/>
  </conditionalFormatting>
  <conditionalFormatting sqref="P4372:P4373">
    <cfRule type="duplicateValues" dxfId="36" priority="27"/>
  </conditionalFormatting>
  <conditionalFormatting sqref="P3888:P3895">
    <cfRule type="duplicateValues" dxfId="35" priority="189"/>
  </conditionalFormatting>
  <conditionalFormatting sqref="P206 R212:R223">
    <cfRule type="duplicateValues" dxfId="34" priority="26"/>
  </conditionalFormatting>
  <conditionalFormatting sqref="P224:P227">
    <cfRule type="duplicateValues" dxfId="33" priority="190"/>
  </conditionalFormatting>
  <conditionalFormatting sqref="P387:P388">
    <cfRule type="duplicateValues" dxfId="32" priority="25"/>
  </conditionalFormatting>
  <conditionalFormatting sqref="P405:P406">
    <cfRule type="duplicateValues" dxfId="31" priority="24"/>
  </conditionalFormatting>
  <conditionalFormatting sqref="P797:P798">
    <cfRule type="duplicateValues" dxfId="30" priority="23"/>
  </conditionalFormatting>
  <conditionalFormatting sqref="P1843:P1844">
    <cfRule type="duplicateValues" dxfId="29" priority="22"/>
  </conditionalFormatting>
  <conditionalFormatting sqref="P3440:P3442">
    <cfRule type="duplicateValues" dxfId="28" priority="21"/>
  </conditionalFormatting>
  <conditionalFormatting sqref="P4333:P4334">
    <cfRule type="duplicateValues" dxfId="27" priority="20"/>
  </conditionalFormatting>
  <conditionalFormatting sqref="P4330:P4331">
    <cfRule type="duplicateValues" dxfId="26" priority="191"/>
  </conditionalFormatting>
  <conditionalFormatting sqref="P4361:P4362">
    <cfRule type="duplicateValues" dxfId="25" priority="18"/>
  </conditionalFormatting>
  <conditionalFormatting sqref="P4358:P4359">
    <cfRule type="duplicateValues" dxfId="24" priority="19"/>
  </conditionalFormatting>
  <conditionalFormatting sqref="P1469:P1471 P1458:P1466">
    <cfRule type="duplicateValues" dxfId="23" priority="17"/>
  </conditionalFormatting>
  <conditionalFormatting sqref="P124">
    <cfRule type="duplicateValues" dxfId="22" priority="192"/>
  </conditionalFormatting>
  <conditionalFormatting sqref="P581:P583">
    <cfRule type="duplicateValues" dxfId="21" priority="193"/>
  </conditionalFormatting>
  <conditionalFormatting sqref="P2808:P2809">
    <cfRule type="duplicateValues" dxfId="20" priority="16"/>
  </conditionalFormatting>
  <conditionalFormatting sqref="P2802:P2804">
    <cfRule type="duplicateValues" dxfId="19" priority="15"/>
  </conditionalFormatting>
  <conditionalFormatting sqref="R2394">
    <cfRule type="duplicateValues" dxfId="18" priority="12"/>
  </conditionalFormatting>
  <conditionalFormatting sqref="P2395:P2402 P2392:P2393">
    <cfRule type="duplicateValues" dxfId="17" priority="13"/>
  </conditionalFormatting>
  <conditionalFormatting sqref="R2408">
    <cfRule type="duplicateValues" dxfId="16" priority="10"/>
  </conditionalFormatting>
  <conditionalFormatting sqref="P2403:P2407 P2409:P2416">
    <cfRule type="duplicateValues" dxfId="15" priority="11"/>
  </conditionalFormatting>
  <conditionalFormatting sqref="P2417">
    <cfRule type="duplicateValues" dxfId="14" priority="9"/>
  </conditionalFormatting>
  <conditionalFormatting sqref="P2380:P2389">
    <cfRule type="duplicateValues" dxfId="13" priority="14"/>
  </conditionalFormatting>
  <conditionalFormatting sqref="R2422">
    <cfRule type="duplicateValues" dxfId="12" priority="7"/>
  </conditionalFormatting>
  <conditionalFormatting sqref="P2419:P2421 P2423:P2430">
    <cfRule type="duplicateValues" dxfId="11" priority="8"/>
  </conditionalFormatting>
  <conditionalFormatting sqref="P2431:P2434 P2418">
    <cfRule type="duplicateValues" dxfId="10" priority="208"/>
  </conditionalFormatting>
  <conditionalFormatting sqref="P228:P231 P233:P241">
    <cfRule type="duplicateValues" dxfId="9" priority="5"/>
  </conditionalFormatting>
  <conditionalFormatting sqref="R232">
    <cfRule type="duplicateValues" dxfId="8" priority="4"/>
  </conditionalFormatting>
  <conditionalFormatting sqref="R247">
    <cfRule type="duplicateValues" dxfId="7" priority="3"/>
  </conditionalFormatting>
  <conditionalFormatting sqref="P243:P246 P248:P252">
    <cfRule type="duplicateValues" dxfId="6" priority="6"/>
  </conditionalFormatting>
  <conditionalFormatting sqref="R259">
    <cfRule type="duplicateValues" dxfId="5" priority="1"/>
  </conditionalFormatting>
  <conditionalFormatting sqref="P255:P258 P260:P267">
    <cfRule type="duplicateValues" dxfId="4" priority="2"/>
  </conditionalFormatting>
  <conditionalFormatting sqref="P4053:P4064 P4015 P4018:P4019">
    <cfRule type="duplicateValues" dxfId="3" priority="212"/>
  </conditionalFormatting>
  <conditionalFormatting sqref="P575:P578">
    <cfRule type="duplicateValues" dxfId="2" priority="219"/>
  </conditionalFormatting>
  <conditionalFormatting sqref="P1709">
    <cfRule type="duplicateValues" dxfId="1" priority="220"/>
  </conditionalFormatting>
  <pageMargins left="0.5" right="0.5" top="0.55000000000000004" bottom="0.5" header="0.05" footer="0.3"/>
  <pageSetup paperSize="5" fitToHeight="0" orientation="landscape" r:id="rId1"/>
  <headerFooter differentFirst="1">
    <oddFooter>&amp;C&amp;P</oddFooter>
  </headerFooter>
  <rowBreaks count="25" manualBreakCount="25">
    <brk id="374" max="16383" man="1"/>
    <brk id="435" max="16383" man="1"/>
    <brk id="579" max="16383" man="1"/>
    <brk id="645" max="16383" man="1"/>
    <brk id="732" max="16383" man="1"/>
    <brk id="862" max="16383" man="1"/>
    <brk id="1524" max="16383" man="1"/>
    <brk id="1921" max="16383" man="1"/>
    <brk id="1994" max="16383" man="1"/>
    <brk id="2755" max="16383" man="1"/>
    <brk id="2816" max="16383" man="1"/>
    <brk id="3021" max="16383" man="1"/>
    <brk id="3070" max="16383" man="1"/>
    <brk id="3149" max="16383" man="1"/>
    <brk id="3242" max="16383" man="1"/>
    <brk id="3319" max="16383" man="1"/>
    <brk id="3457" max="16383" man="1"/>
    <brk id="3678" max="16383" man="1"/>
    <brk id="3760" max="16383" man="1"/>
    <brk id="3902" max="16383" man="1"/>
    <brk id="4017" max="16383" man="1"/>
    <brk id="4448" max="16383" man="1"/>
    <brk id="4564" max="16383" man="1"/>
    <brk id="4617" max="16383" man="1"/>
    <brk id="4691" max="16383" man="1"/>
  </rowBreaks>
  <ignoredErrors>
    <ignoredError sqref="K1783 K1589 K1578 K2409 K3371 I4112 K1272 K3040" formula="1"/>
    <ignoredError sqref="A2317:A2318" twoDigitTextYear="1"/>
  </ignoredError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152400</xdr:colOff>
                <xdr:row>345</xdr:row>
                <xdr:rowOff>152400</xdr:rowOff>
              </from>
              <to>
                <xdr:col>1</xdr:col>
                <xdr:colOff>152400</xdr:colOff>
                <xdr:row>347</xdr:row>
                <xdr:rowOff>241300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autoPict="0" altText="FAC 1511 Study" r:id="rId5">
            <anchor moveWithCells="1">
              <from>
                <xdr:col>0</xdr:col>
                <xdr:colOff>152400</xdr:colOff>
                <xdr:row>354</xdr:row>
                <xdr:rowOff>152400</xdr:rowOff>
              </from>
              <to>
                <xdr:col>1</xdr:col>
                <xdr:colOff>152400</xdr:colOff>
                <xdr:row>356</xdr:row>
                <xdr:rowOff>241300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80" r:id="rId7">
          <objectPr defaultSize="0" altText="FAC 2131 RUC _FY2011 CNIC Study" r:id="rId8">
            <anchor moveWithCells="1">
              <from>
                <xdr:col>0</xdr:col>
                <xdr:colOff>139700</xdr:colOff>
                <xdr:row>1299</xdr:row>
                <xdr:rowOff>292100</xdr:rowOff>
              </from>
              <to>
                <xdr:col>1</xdr:col>
                <xdr:colOff>101600</xdr:colOff>
                <xdr:row>1301</xdr:row>
                <xdr:rowOff>215900</xdr:rowOff>
              </to>
            </anchor>
          </objectPr>
        </oleObject>
      </mc:Choice>
      <mc:Fallback>
        <oleObject progId="Acrobat Document" dvAspect="DVASPECT_ICON" shapeId="3080" r:id="rId7"/>
      </mc:Fallback>
    </mc:AlternateContent>
    <mc:AlternateContent xmlns:mc="http://schemas.openxmlformats.org/markup-compatibility/2006">
      <mc:Choice Requires="x14">
        <oleObject progId="Acrobat Document" dvAspect="DVASPECT_ICON" shapeId="3081" r:id="rId9">
          <objectPr defaultSize="0" r:id="rId10">
            <anchor moveWithCells="1">
              <from>
                <xdr:col>2</xdr:col>
                <xdr:colOff>520700</xdr:colOff>
                <xdr:row>4415</xdr:row>
                <xdr:rowOff>50800</xdr:rowOff>
              </from>
              <to>
                <xdr:col>3</xdr:col>
                <xdr:colOff>800100</xdr:colOff>
                <xdr:row>4416</xdr:row>
                <xdr:rowOff>355600</xdr:rowOff>
              </to>
            </anchor>
          </objectPr>
        </oleObject>
      </mc:Choice>
      <mc:Fallback>
        <oleObject progId="Acrobat Document" dvAspect="DVASPECT_ICON" shapeId="3081"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pageSetUpPr fitToPage="1"/>
  </sheetPr>
  <dimension ref="A1:S26"/>
  <sheetViews>
    <sheetView topLeftCell="A7" zoomScaleNormal="100" workbookViewId="0">
      <selection activeCell="C10" sqref="C10"/>
    </sheetView>
  </sheetViews>
  <sheetFormatPr baseColWidth="10" defaultColWidth="9.1640625" defaultRowHeight="15"/>
  <cols>
    <col min="1" max="1" width="27.1640625" style="414" customWidth="1"/>
    <col min="2" max="2" width="12" style="414" customWidth="1"/>
    <col min="3" max="3" width="11.5" style="414" customWidth="1"/>
    <col min="4" max="4" width="16.5" style="414" customWidth="1"/>
    <col min="5" max="5" width="15.5" style="414" customWidth="1"/>
    <col min="6" max="6" width="23.5" style="414" customWidth="1"/>
    <col min="7" max="7" width="19.83203125" style="414" customWidth="1"/>
    <col min="8" max="8" width="14" style="414" customWidth="1"/>
    <col min="9" max="9" width="15.5" style="414" customWidth="1"/>
    <col min="10" max="10" width="16.1640625" style="414" customWidth="1"/>
    <col min="11" max="16384" width="9.1640625" style="414"/>
  </cols>
  <sheetData>
    <row r="1" spans="1:19" ht="30" customHeight="1">
      <c r="A1" s="1750" t="s">
        <v>2302</v>
      </c>
      <c r="B1" s="1751"/>
      <c r="C1" s="1751"/>
      <c r="D1" s="1751"/>
      <c r="E1" s="1751"/>
      <c r="F1" s="1752"/>
      <c r="M1" s="713"/>
      <c r="O1" s="922"/>
      <c r="P1" s="713"/>
      <c r="S1" s="923"/>
    </row>
    <row r="2" spans="1:19" s="926" customFormat="1" ht="80.25" customHeight="1">
      <c r="A2" s="1753" t="s">
        <v>2500</v>
      </c>
      <c r="B2" s="1333"/>
      <c r="C2" s="1333"/>
      <c r="D2" s="1333"/>
      <c r="E2" s="1333"/>
      <c r="F2" s="1754"/>
      <c r="G2" s="924"/>
      <c r="H2" s="924"/>
      <c r="I2" s="924"/>
      <c r="J2" s="924"/>
      <c r="K2" s="925"/>
      <c r="M2" s="713"/>
      <c r="O2" s="922"/>
      <c r="P2" s="713"/>
      <c r="S2" s="923"/>
    </row>
    <row r="3" spans="1:19" ht="56.25" customHeight="1">
      <c r="A3" s="927" t="s">
        <v>2303</v>
      </c>
      <c r="B3" s="35" t="s">
        <v>2304</v>
      </c>
      <c r="C3" s="35" t="s">
        <v>2305</v>
      </c>
      <c r="D3" s="35" t="s">
        <v>2306</v>
      </c>
      <c r="E3" s="35" t="s">
        <v>2307</v>
      </c>
      <c r="F3" s="928" t="s">
        <v>2574</v>
      </c>
      <c r="G3" s="929"/>
      <c r="H3" s="929"/>
      <c r="I3" s="369"/>
      <c r="J3" s="275"/>
      <c r="L3" s="713"/>
      <c r="N3" s="922"/>
      <c r="O3" s="713"/>
      <c r="R3" s="923"/>
    </row>
    <row r="4" spans="1:19" ht="30" customHeight="1">
      <c r="A4" s="930"/>
      <c r="B4" s="931">
        <v>39356</v>
      </c>
      <c r="C4" s="256">
        <v>2008</v>
      </c>
      <c r="D4" s="932">
        <v>100</v>
      </c>
      <c r="E4" s="256"/>
      <c r="F4" s="933">
        <f>+$D$15/D4</f>
        <v>1.2897000000000001</v>
      </c>
      <c r="G4" s="706"/>
      <c r="H4" s="706"/>
      <c r="I4" s="369"/>
      <c r="J4" s="275"/>
      <c r="L4" s="713"/>
      <c r="N4" s="922"/>
      <c r="O4" s="713"/>
      <c r="R4" s="923"/>
    </row>
    <row r="5" spans="1:19" ht="30" customHeight="1">
      <c r="A5" s="930"/>
      <c r="B5" s="931">
        <v>39722</v>
      </c>
      <c r="C5" s="256">
        <v>2009</v>
      </c>
      <c r="D5" s="256">
        <v>104.89</v>
      </c>
      <c r="E5" s="256"/>
      <c r="F5" s="933">
        <f t="shared" ref="F5:F15" si="0">+$D$15/D5</f>
        <v>1.2295738392601774</v>
      </c>
      <c r="G5" s="929"/>
      <c r="H5" s="929"/>
      <c r="I5" s="369"/>
      <c r="J5" s="275"/>
      <c r="L5" s="713"/>
      <c r="N5" s="922"/>
      <c r="O5" s="713"/>
      <c r="R5" s="923"/>
    </row>
    <row r="6" spans="1:19" ht="30" customHeight="1">
      <c r="A6" s="930"/>
      <c r="B6" s="931">
        <v>40087</v>
      </c>
      <c r="C6" s="256">
        <v>2010</v>
      </c>
      <c r="D6" s="256">
        <v>98.32</v>
      </c>
      <c r="E6" s="256"/>
      <c r="F6" s="933">
        <f t="shared" si="0"/>
        <v>1.3117371847030106</v>
      </c>
      <c r="G6" s="929"/>
      <c r="H6" s="929"/>
      <c r="I6" s="369"/>
      <c r="J6" s="275"/>
      <c r="L6" s="713"/>
      <c r="N6" s="922"/>
      <c r="O6" s="713"/>
      <c r="R6" s="923"/>
    </row>
    <row r="7" spans="1:19" ht="30" customHeight="1">
      <c r="A7" s="930"/>
      <c r="B7" s="931">
        <v>40452</v>
      </c>
      <c r="C7" s="256">
        <v>2011</v>
      </c>
      <c r="D7" s="256">
        <v>96.83</v>
      </c>
      <c r="E7" s="256"/>
      <c r="F7" s="933">
        <f t="shared" si="0"/>
        <v>1.3319219250232366</v>
      </c>
      <c r="G7" s="929"/>
      <c r="H7" s="929"/>
      <c r="I7" s="369"/>
      <c r="J7" s="275"/>
      <c r="L7" s="713"/>
      <c r="N7" s="922"/>
      <c r="O7" s="713"/>
      <c r="R7" s="923"/>
    </row>
    <row r="8" spans="1:19" ht="30" customHeight="1">
      <c r="A8" s="934" t="s">
        <v>2308</v>
      </c>
      <c r="B8" s="931">
        <v>40817</v>
      </c>
      <c r="C8" s="45">
        <v>2012</v>
      </c>
      <c r="D8" s="858">
        <v>99.3</v>
      </c>
      <c r="E8" s="45"/>
      <c r="F8" s="933">
        <f t="shared" si="0"/>
        <v>1.2987915407854984</v>
      </c>
      <c r="G8" s="935"/>
      <c r="H8" s="936"/>
      <c r="M8" s="937"/>
    </row>
    <row r="9" spans="1:19" ht="30" customHeight="1">
      <c r="A9" s="934" t="s">
        <v>2309</v>
      </c>
      <c r="B9" s="931">
        <v>41183</v>
      </c>
      <c r="C9" s="45">
        <v>2013</v>
      </c>
      <c r="D9" s="858">
        <v>101.04</v>
      </c>
      <c r="E9" s="45"/>
      <c r="F9" s="933">
        <f t="shared" si="0"/>
        <v>1.2764251781472684</v>
      </c>
      <c r="G9" s="935"/>
      <c r="H9" s="936"/>
      <c r="M9" s="937"/>
    </row>
    <row r="10" spans="1:19" ht="30" customHeight="1">
      <c r="A10" s="934" t="s">
        <v>2310</v>
      </c>
      <c r="B10" s="931">
        <v>41548</v>
      </c>
      <c r="C10" s="45">
        <v>2014</v>
      </c>
      <c r="D10" s="858">
        <v>104.62</v>
      </c>
      <c r="E10" s="45"/>
      <c r="F10" s="933">
        <f t="shared" si="0"/>
        <v>1.2327470846874402</v>
      </c>
      <c r="G10" s="935"/>
      <c r="H10" s="936"/>
      <c r="M10" s="937"/>
    </row>
    <row r="11" spans="1:19" ht="30" customHeight="1">
      <c r="A11" s="934" t="s">
        <v>2311</v>
      </c>
      <c r="B11" s="931">
        <v>41913</v>
      </c>
      <c r="C11" s="45">
        <v>2015</v>
      </c>
      <c r="D11" s="858">
        <v>108.88</v>
      </c>
      <c r="E11" s="45"/>
      <c r="F11" s="933">
        <f t="shared" si="0"/>
        <v>1.1845150624540779</v>
      </c>
      <c r="G11" s="935"/>
      <c r="H11" s="936"/>
      <c r="M11" s="937"/>
    </row>
    <row r="12" spans="1:19" ht="30" customHeight="1">
      <c r="A12" s="934" t="s">
        <v>2312</v>
      </c>
      <c r="B12" s="931">
        <v>42278</v>
      </c>
      <c r="C12" s="45">
        <v>2016</v>
      </c>
      <c r="D12" s="858">
        <v>113.31</v>
      </c>
      <c r="E12" s="45"/>
      <c r="F12" s="933">
        <f t="shared" si="0"/>
        <v>1.1382049245432884</v>
      </c>
      <c r="G12" s="935"/>
      <c r="H12" s="936"/>
      <c r="M12" s="937"/>
    </row>
    <row r="13" spans="1:19" ht="30" customHeight="1">
      <c r="A13" s="934" t="s">
        <v>2313</v>
      </c>
      <c r="B13" s="931">
        <v>42644</v>
      </c>
      <c r="C13" s="45">
        <v>2017</v>
      </c>
      <c r="D13" s="858">
        <v>117.64</v>
      </c>
      <c r="E13" s="46"/>
      <c r="F13" s="933">
        <f t="shared" si="0"/>
        <v>1.0963107786467188</v>
      </c>
      <c r="G13" s="935"/>
      <c r="H13" s="936"/>
      <c r="M13" s="937"/>
    </row>
    <row r="14" spans="1:19" ht="30" customHeight="1">
      <c r="A14" s="934" t="s">
        <v>2314</v>
      </c>
      <c r="B14" s="931">
        <v>43009</v>
      </c>
      <c r="C14" s="45">
        <v>2018</v>
      </c>
      <c r="D14" s="858">
        <v>122.32</v>
      </c>
      <c r="E14" s="938"/>
      <c r="F14" s="933">
        <f t="shared" si="0"/>
        <v>1.0543655984303466</v>
      </c>
      <c r="G14" s="936"/>
      <c r="H14" s="936"/>
      <c r="I14" s="936"/>
      <c r="M14" s="937"/>
    </row>
    <row r="15" spans="1:19" ht="30" customHeight="1">
      <c r="A15" s="934" t="s">
        <v>2315</v>
      </c>
      <c r="B15" s="931">
        <v>43374</v>
      </c>
      <c r="C15" s="45">
        <v>2019</v>
      </c>
      <c r="D15" s="858">
        <v>128.97</v>
      </c>
      <c r="E15" s="938">
        <v>1</v>
      </c>
      <c r="F15" s="933">
        <f t="shared" si="0"/>
        <v>1</v>
      </c>
      <c r="G15" s="936"/>
      <c r="H15" s="936"/>
      <c r="I15" s="936"/>
      <c r="M15" s="937"/>
    </row>
    <row r="16" spans="1:19" ht="30" customHeight="1">
      <c r="A16" s="934" t="s">
        <v>2316</v>
      </c>
      <c r="B16" s="939">
        <v>43739</v>
      </c>
      <c r="C16" s="45">
        <v>2020</v>
      </c>
      <c r="D16" s="46"/>
      <c r="E16" s="938">
        <v>1.02</v>
      </c>
      <c r="F16" s="933">
        <f>1/(E15*E16)</f>
        <v>0.98039215686274506</v>
      </c>
      <c r="G16" s="936"/>
      <c r="H16" s="936"/>
      <c r="I16" s="936"/>
      <c r="K16" s="937"/>
    </row>
    <row r="17" spans="1:14" ht="30" customHeight="1">
      <c r="A17" s="940" t="s">
        <v>2317</v>
      </c>
      <c r="B17" s="939">
        <v>44105</v>
      </c>
      <c r="C17" s="45">
        <v>2021</v>
      </c>
      <c r="D17" s="46"/>
      <c r="E17" s="938">
        <v>1.02</v>
      </c>
      <c r="F17" s="933">
        <f>1/(E15*E16*E17)</f>
        <v>0.96116878123798544</v>
      </c>
      <c r="N17" s="937"/>
    </row>
    <row r="18" spans="1:14" ht="30" customHeight="1">
      <c r="A18" s="941" t="s">
        <v>2573</v>
      </c>
      <c r="B18" s="1015">
        <v>44470</v>
      </c>
      <c r="C18" s="49">
        <v>2022</v>
      </c>
      <c r="D18" s="50"/>
      <c r="E18" s="942">
        <v>1.02</v>
      </c>
      <c r="F18" s="933">
        <f>1/(E15*E16*E17*E18)</f>
        <v>0.94232233454704462</v>
      </c>
      <c r="N18" s="937"/>
    </row>
    <row r="19" spans="1:14" ht="30" customHeight="1">
      <c r="A19" s="1006"/>
      <c r="B19" s="50"/>
      <c r="C19" s="49">
        <v>2023</v>
      </c>
      <c r="D19" s="50"/>
      <c r="E19" s="942">
        <v>1.02</v>
      </c>
      <c r="F19" s="933">
        <f>1/(E15*E16*E17*E18*E19)</f>
        <v>0.9238454260265142</v>
      </c>
      <c r="N19" s="937"/>
    </row>
    <row r="20" spans="1:14" ht="30" customHeight="1">
      <c r="A20" s="1006"/>
      <c r="B20" s="50"/>
      <c r="C20" s="49">
        <v>2024</v>
      </c>
      <c r="D20" s="50"/>
      <c r="E20" s="942">
        <v>1.02</v>
      </c>
      <c r="F20" s="933">
        <f>1/(E15*E16*E17*E18*E19*E20)</f>
        <v>0.90573080982991594</v>
      </c>
      <c r="N20" s="937"/>
    </row>
    <row r="21" spans="1:14" ht="30" customHeight="1">
      <c r="A21" s="157"/>
      <c r="B21" s="46"/>
      <c r="C21" s="45">
        <v>2025</v>
      </c>
      <c r="D21" s="46"/>
      <c r="E21" s="938">
        <v>1.02</v>
      </c>
      <c r="F21" s="933">
        <f>1/(E15*E16*E17*E18*E19*E20*E21)</f>
        <v>0.88797138218619198</v>
      </c>
      <c r="N21" s="937"/>
    </row>
    <row r="22" spans="1:14" ht="12.75" customHeight="1" thickBot="1">
      <c r="A22" s="943"/>
      <c r="B22" s="944"/>
      <c r="C22" s="945"/>
      <c r="D22" s="944"/>
      <c r="E22" s="946"/>
      <c r="F22" s="947"/>
      <c r="N22" s="937"/>
    </row>
    <row r="23" spans="1:14">
      <c r="A23" s="1755" t="s">
        <v>2576</v>
      </c>
      <c r="B23" s="1756"/>
      <c r="C23" s="1756"/>
      <c r="D23" s="1756"/>
      <c r="E23" s="1756"/>
      <c r="F23" s="1757"/>
    </row>
    <row r="24" spans="1:14" ht="27" customHeight="1">
      <c r="A24" s="1758" t="s">
        <v>2318</v>
      </c>
      <c r="B24" s="1759"/>
      <c r="C24" s="1759"/>
      <c r="D24" s="1759"/>
      <c r="E24" s="1759"/>
      <c r="F24" s="1760"/>
      <c r="G24" s="859"/>
    </row>
    <row r="25" spans="1:14" ht="108" customHeight="1">
      <c r="A25" s="1761" t="s">
        <v>2319</v>
      </c>
      <c r="B25" s="1762"/>
      <c r="C25" s="1762"/>
      <c r="D25" s="1762"/>
      <c r="E25" s="1762"/>
      <c r="F25" s="1763"/>
      <c r="G25" s="859"/>
    </row>
    <row r="26" spans="1:14" ht="33" customHeight="1" thickBot="1">
      <c r="A26" s="1747" t="s">
        <v>2575</v>
      </c>
      <c r="B26" s="1748"/>
      <c r="C26" s="1748"/>
      <c r="D26" s="1748"/>
      <c r="E26" s="1748"/>
      <c r="F26" s="1749"/>
      <c r="G26" s="859"/>
    </row>
  </sheetData>
  <mergeCells count="6">
    <mergeCell ref="A26:F26"/>
    <mergeCell ref="A1:F1"/>
    <mergeCell ref="A2:F2"/>
    <mergeCell ref="A23:F23"/>
    <mergeCell ref="A24:F24"/>
    <mergeCell ref="A25:F25"/>
  </mergeCells>
  <pageMargins left="0.7" right="0.7" top="0.75" bottom="0.75" header="0.3" footer="0.3"/>
  <pageSetup scale="78"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2019-21B5-4A88-8F84-E71C43BA36F8}">
  <sheetPr>
    <pageSetUpPr fitToPage="1"/>
  </sheetPr>
  <dimension ref="A1:IM534"/>
  <sheetViews>
    <sheetView workbookViewId="0">
      <pane ySplit="3" topLeftCell="A220" activePane="bottomLeft" state="frozen"/>
      <selection activeCell="G11" sqref="G11"/>
      <selection pane="bottomLeft" activeCell="R158" sqref="R158"/>
    </sheetView>
  </sheetViews>
  <sheetFormatPr baseColWidth="10" defaultColWidth="8.83203125" defaultRowHeight="15"/>
  <cols>
    <col min="1" max="1" width="5.1640625" customWidth="1"/>
    <col min="2" max="2" width="56.83203125" bestFit="1" customWidth="1"/>
    <col min="3" max="3" width="8.83203125" customWidth="1"/>
    <col min="4" max="4" width="9.83203125" customWidth="1"/>
    <col min="5" max="5" width="11.1640625" customWidth="1"/>
    <col min="6" max="6" width="11.83203125" customWidth="1"/>
    <col min="7" max="8" width="11.1640625" customWidth="1"/>
    <col min="9" max="9" width="9.83203125" customWidth="1"/>
    <col min="10" max="10" width="9.5" customWidth="1"/>
    <col min="11" max="11" width="10.5" customWidth="1"/>
    <col min="12" max="12" width="10" customWidth="1"/>
    <col min="13" max="13" width="9.83203125" customWidth="1"/>
    <col min="14" max="14" width="9.1640625" customWidth="1"/>
    <col min="15" max="15" width="14.83203125" customWidth="1"/>
    <col min="16" max="16" width="13.5" customWidth="1"/>
    <col min="17" max="17" width="12.83203125" style="59" customWidth="1"/>
    <col min="18" max="18" width="12.1640625" style="892" customWidth="1"/>
    <col min="45" max="45" width="9.1640625" style="893"/>
    <col min="228" max="228" width="5.83203125" customWidth="1"/>
    <col min="229" max="229" width="42.83203125" customWidth="1"/>
    <col min="230" max="230" width="3.5" customWidth="1"/>
    <col min="231" max="232" width="15.83203125" customWidth="1"/>
    <col min="233" max="233" width="6.5" customWidth="1"/>
    <col min="234" max="234" width="92" customWidth="1"/>
  </cols>
  <sheetData>
    <row r="1" spans="1:247" ht="26.25" customHeight="1" thickBot="1">
      <c r="A1" s="1765" t="s">
        <v>2320</v>
      </c>
      <c r="B1" s="1765"/>
      <c r="C1" s="1765"/>
      <c r="D1" s="1766"/>
      <c r="E1" s="1767" t="s">
        <v>2321</v>
      </c>
      <c r="F1" s="1768"/>
      <c r="G1" s="1769"/>
      <c r="H1" s="1770" t="s">
        <v>2322</v>
      </c>
      <c r="I1" s="1771"/>
      <c r="J1" s="1771"/>
      <c r="K1" s="1771"/>
      <c r="L1" s="1771"/>
      <c r="M1" s="1771"/>
      <c r="N1" s="1771"/>
      <c r="O1" s="860" t="s">
        <v>2323</v>
      </c>
      <c r="P1" s="1772" t="s">
        <v>2324</v>
      </c>
      <c r="Q1" s="1769"/>
      <c r="R1" s="861"/>
      <c r="AS1"/>
    </row>
    <row r="2" spans="1:247" ht="72.75" customHeight="1">
      <c r="A2" s="1765"/>
      <c r="B2" s="1765"/>
      <c r="C2" s="1765"/>
      <c r="D2" s="1766"/>
      <c r="E2" s="862" t="s">
        <v>2325</v>
      </c>
      <c r="F2" s="167" t="s">
        <v>2326</v>
      </c>
      <c r="G2" s="857" t="s">
        <v>2327</v>
      </c>
      <c r="H2" s="863" t="s">
        <v>2328</v>
      </c>
      <c r="I2" s="167" t="s">
        <v>2329</v>
      </c>
      <c r="J2" s="167" t="s">
        <v>2330</v>
      </c>
      <c r="K2" s="167" t="s">
        <v>2331</v>
      </c>
      <c r="L2" s="167" t="s">
        <v>2332</v>
      </c>
      <c r="M2" s="167" t="s">
        <v>2333</v>
      </c>
      <c r="N2" s="864" t="s">
        <v>2334</v>
      </c>
      <c r="O2" s="865" t="s">
        <v>2335</v>
      </c>
      <c r="P2" s="863" t="s">
        <v>2336</v>
      </c>
      <c r="Q2" s="857" t="s">
        <v>2337</v>
      </c>
      <c r="R2" s="866" t="s">
        <v>2338</v>
      </c>
      <c r="S2" s="867"/>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row>
    <row r="3" spans="1:247" ht="48.75" customHeight="1" thickBot="1">
      <c r="A3" s="868" t="s">
        <v>0</v>
      </c>
      <c r="B3" s="869" t="s">
        <v>1</v>
      </c>
      <c r="C3" s="870" t="s">
        <v>2</v>
      </c>
      <c r="D3" s="871" t="s">
        <v>2339</v>
      </c>
      <c r="E3" s="872">
        <v>1.0740000000000001</v>
      </c>
      <c r="F3" s="873">
        <v>1.0209999999999999</v>
      </c>
      <c r="G3" s="871">
        <v>1.0269999999999999</v>
      </c>
      <c r="H3" s="872">
        <v>1.0029999999999999</v>
      </c>
      <c r="I3" s="2">
        <v>1.0289999999999999</v>
      </c>
      <c r="J3" s="2">
        <v>1.0049999999999999</v>
      </c>
      <c r="K3" s="874">
        <v>1.026</v>
      </c>
      <c r="L3" s="2">
        <v>1.0129999999999999</v>
      </c>
      <c r="M3" s="2">
        <v>1.0029999999999999</v>
      </c>
      <c r="N3" s="871">
        <v>1.0029999999999999</v>
      </c>
      <c r="O3" s="875">
        <v>1.0209999999999999</v>
      </c>
      <c r="P3" s="872">
        <v>1.032</v>
      </c>
      <c r="Q3" s="871">
        <v>1.0349999999999999</v>
      </c>
      <c r="R3" s="876"/>
      <c r="S3" s="877"/>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row>
    <row r="4" spans="1:247">
      <c r="A4" s="4">
        <v>1321</v>
      </c>
      <c r="B4" s="9" t="s">
        <v>9</v>
      </c>
      <c r="C4" s="10" t="s">
        <v>10</v>
      </c>
      <c r="D4" s="878" t="s">
        <v>2340</v>
      </c>
      <c r="E4" s="879"/>
      <c r="F4" s="880">
        <f t="shared" ref="F4:F128" si="0">+$F$3</f>
        <v>1.0209999999999999</v>
      </c>
      <c r="G4" s="881"/>
      <c r="H4" s="879"/>
      <c r="I4" s="880"/>
      <c r="J4" s="880"/>
      <c r="K4" s="880"/>
      <c r="L4" s="880"/>
      <c r="M4" s="880"/>
      <c r="N4" s="882"/>
      <c r="O4" s="883"/>
      <c r="P4" s="879"/>
      <c r="Q4" s="882"/>
      <c r="R4" s="884">
        <f t="shared" ref="R4:R128" si="1">PRODUCT(E4:Q4)</f>
        <v>1.0209999999999999</v>
      </c>
      <c r="S4" s="1"/>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row>
    <row r="5" spans="1:247">
      <c r="A5" s="4">
        <v>1341</v>
      </c>
      <c r="B5" s="9" t="s">
        <v>11</v>
      </c>
      <c r="C5" s="10" t="s">
        <v>10</v>
      </c>
      <c r="D5" s="878" t="s">
        <v>2340</v>
      </c>
      <c r="E5" s="885"/>
      <c r="F5" s="880">
        <f t="shared" si="0"/>
        <v>1.0209999999999999</v>
      </c>
      <c r="G5" s="886"/>
      <c r="H5" s="885"/>
      <c r="I5" s="887"/>
      <c r="J5" s="887"/>
      <c r="K5" s="887"/>
      <c r="L5" s="887"/>
      <c r="M5" s="887"/>
      <c r="N5" s="886"/>
      <c r="O5" s="888"/>
      <c r="P5" s="885"/>
      <c r="Q5" s="886"/>
      <c r="R5" s="889">
        <f t="shared" si="1"/>
        <v>1.0209999999999999</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row>
    <row r="6" spans="1:247">
      <c r="A6" s="4">
        <v>1351</v>
      </c>
      <c r="B6" s="9" t="s">
        <v>12</v>
      </c>
      <c r="C6" s="10" t="s">
        <v>13</v>
      </c>
      <c r="D6" s="878" t="s">
        <v>2341</v>
      </c>
      <c r="E6" s="885"/>
      <c r="F6" s="880">
        <f t="shared" si="0"/>
        <v>1.0209999999999999</v>
      </c>
      <c r="G6" s="886"/>
      <c r="H6" s="885"/>
      <c r="I6" s="887"/>
      <c r="J6" s="887"/>
      <c r="K6" s="887"/>
      <c r="L6" s="887"/>
      <c r="M6" s="887"/>
      <c r="N6" s="886"/>
      <c r="O6" s="888"/>
      <c r="P6" s="885"/>
      <c r="Q6" s="886"/>
      <c r="R6" s="889">
        <f t="shared" si="1"/>
        <v>1.0209999999999999</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row>
    <row r="7" spans="1:247">
      <c r="A7" s="4">
        <v>1362</v>
      </c>
      <c r="B7" s="9" t="s">
        <v>14</v>
      </c>
      <c r="C7" s="10" t="s">
        <v>10</v>
      </c>
      <c r="D7" s="878" t="s">
        <v>2340</v>
      </c>
      <c r="E7" s="885"/>
      <c r="F7" s="880">
        <f t="shared" si="0"/>
        <v>1.0209999999999999</v>
      </c>
      <c r="G7" s="886"/>
      <c r="H7" s="885"/>
      <c r="I7" s="887"/>
      <c r="J7" s="887"/>
      <c r="K7" s="887"/>
      <c r="L7" s="887"/>
      <c r="M7" s="887"/>
      <c r="N7" s="886"/>
      <c r="O7" s="888"/>
      <c r="P7" s="885"/>
      <c r="Q7" s="886"/>
      <c r="R7" s="889">
        <f t="shared" si="1"/>
        <v>1.0209999999999999</v>
      </c>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row>
    <row r="8" spans="1:247">
      <c r="A8" s="4">
        <v>1381</v>
      </c>
      <c r="B8" s="9" t="s">
        <v>15</v>
      </c>
      <c r="C8" s="10" t="s">
        <v>10</v>
      </c>
      <c r="D8" s="878" t="s">
        <v>2340</v>
      </c>
      <c r="E8" s="885"/>
      <c r="F8" s="880">
        <f t="shared" si="0"/>
        <v>1.0209999999999999</v>
      </c>
      <c r="G8" s="886"/>
      <c r="H8" s="885"/>
      <c r="I8" s="887"/>
      <c r="J8" s="887"/>
      <c r="K8" s="887"/>
      <c r="L8" s="887"/>
      <c r="M8" s="887"/>
      <c r="N8" s="886"/>
      <c r="O8" s="888"/>
      <c r="P8" s="885"/>
      <c r="Q8" s="886"/>
      <c r="R8" s="889">
        <f t="shared" si="1"/>
        <v>1.0209999999999999</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row>
    <row r="9" spans="1:247">
      <c r="A9" s="4">
        <v>1422</v>
      </c>
      <c r="B9" s="9" t="s">
        <v>16</v>
      </c>
      <c r="C9" s="10" t="s">
        <v>10</v>
      </c>
      <c r="D9" s="878" t="s">
        <v>2340</v>
      </c>
      <c r="E9" s="885"/>
      <c r="F9" s="880">
        <f t="shared" si="0"/>
        <v>1.0209999999999999</v>
      </c>
      <c r="G9" s="886"/>
      <c r="H9" s="885"/>
      <c r="I9" s="887"/>
      <c r="J9" s="887"/>
      <c r="K9" s="887"/>
      <c r="L9" s="887"/>
      <c r="M9" s="887"/>
      <c r="N9" s="886"/>
      <c r="O9" s="888"/>
      <c r="P9" s="885"/>
      <c r="Q9" s="886"/>
      <c r="R9" s="889">
        <f t="shared" si="1"/>
        <v>1.0209999999999999</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row>
    <row r="10" spans="1:247">
      <c r="A10" s="4">
        <v>1431</v>
      </c>
      <c r="B10" s="9" t="s">
        <v>17</v>
      </c>
      <c r="C10" s="10" t="s">
        <v>8</v>
      </c>
      <c r="D10" s="878" t="s">
        <v>2342</v>
      </c>
      <c r="E10" s="885">
        <f t="shared" ref="E10:E15" si="2">+$E$3</f>
        <v>1.0740000000000001</v>
      </c>
      <c r="F10" s="880">
        <f t="shared" si="0"/>
        <v>1.0209999999999999</v>
      </c>
      <c r="G10" s="886">
        <f t="shared" ref="G10:G16" si="3">+$G$3</f>
        <v>1.0269999999999999</v>
      </c>
      <c r="H10" s="885">
        <f>+$H$3</f>
        <v>1.0029999999999999</v>
      </c>
      <c r="I10" s="887">
        <f>+$I$3</f>
        <v>1.0289999999999999</v>
      </c>
      <c r="J10" s="887">
        <f>+$J$3</f>
        <v>1.0049999999999999</v>
      </c>
      <c r="K10" s="887">
        <f>+$K$3</f>
        <v>1.026</v>
      </c>
      <c r="L10" s="887">
        <f>+$L$3</f>
        <v>1.0129999999999999</v>
      </c>
      <c r="M10" s="887">
        <f>+$M$3</f>
        <v>1.0029999999999999</v>
      </c>
      <c r="N10" s="886">
        <f>+$N$3</f>
        <v>1.0029999999999999</v>
      </c>
      <c r="O10" s="888">
        <f>+$O$3</f>
        <v>1.0209999999999999</v>
      </c>
      <c r="P10" s="885">
        <f t="shared" ref="P10:P16" si="4">+$P$3</f>
        <v>1.032</v>
      </c>
      <c r="Q10" s="886">
        <f t="shared" ref="Q10:Q16" si="5">+$Q$3</f>
        <v>1.0349999999999999</v>
      </c>
      <c r="R10" s="889">
        <f t="shared" si="1"/>
        <v>1.3319480854780448</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row>
    <row r="11" spans="1:247">
      <c r="A11" s="4">
        <v>1441</v>
      </c>
      <c r="B11" s="9" t="s">
        <v>18</v>
      </c>
      <c r="C11" s="10" t="s">
        <v>8</v>
      </c>
      <c r="D11" s="878" t="s">
        <v>2342</v>
      </c>
      <c r="E11" s="885">
        <f t="shared" si="2"/>
        <v>1.0740000000000001</v>
      </c>
      <c r="F11" s="880">
        <f t="shared" si="0"/>
        <v>1.0209999999999999</v>
      </c>
      <c r="G11" s="886">
        <f t="shared" si="3"/>
        <v>1.0269999999999999</v>
      </c>
      <c r="H11" s="885">
        <f>+$H$3</f>
        <v>1.0029999999999999</v>
      </c>
      <c r="I11" s="887">
        <f>+$I$3</f>
        <v>1.0289999999999999</v>
      </c>
      <c r="J11" s="887">
        <f>+$J$3</f>
        <v>1.0049999999999999</v>
      </c>
      <c r="K11" s="887">
        <f>+$K$3</f>
        <v>1.026</v>
      </c>
      <c r="L11" s="887">
        <f>+$L$3</f>
        <v>1.0129999999999999</v>
      </c>
      <c r="M11" s="887">
        <f>+$M$3</f>
        <v>1.0029999999999999</v>
      </c>
      <c r="N11" s="886">
        <f>+$N$3</f>
        <v>1.0029999999999999</v>
      </c>
      <c r="O11" s="888">
        <f>+$O$3</f>
        <v>1.0209999999999999</v>
      </c>
      <c r="P11" s="885">
        <f t="shared" si="4"/>
        <v>1.032</v>
      </c>
      <c r="Q11" s="886">
        <f t="shared" si="5"/>
        <v>1.0349999999999999</v>
      </c>
      <c r="R11" s="889">
        <f t="shared" si="1"/>
        <v>1.3319480854780448</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row>
    <row r="12" spans="1:247">
      <c r="A12" s="4">
        <v>1442</v>
      </c>
      <c r="B12" s="9" t="s">
        <v>19</v>
      </c>
      <c r="C12" s="10" t="s">
        <v>8</v>
      </c>
      <c r="D12" s="878" t="s">
        <v>2342</v>
      </c>
      <c r="E12" s="885">
        <f t="shared" si="2"/>
        <v>1.0740000000000001</v>
      </c>
      <c r="F12" s="880">
        <f t="shared" si="0"/>
        <v>1.0209999999999999</v>
      </c>
      <c r="G12" s="886">
        <f t="shared" si="3"/>
        <v>1.0269999999999999</v>
      </c>
      <c r="H12" s="885">
        <f>+$H$3</f>
        <v>1.0029999999999999</v>
      </c>
      <c r="I12" s="887">
        <f>+$I$3</f>
        <v>1.0289999999999999</v>
      </c>
      <c r="J12" s="887">
        <f>+$J$3</f>
        <v>1.0049999999999999</v>
      </c>
      <c r="K12" s="887">
        <f>+$K$3</f>
        <v>1.026</v>
      </c>
      <c r="L12" s="887">
        <f>+$L$3</f>
        <v>1.0129999999999999</v>
      </c>
      <c r="M12" s="887">
        <f>+$M$3</f>
        <v>1.0029999999999999</v>
      </c>
      <c r="N12" s="886">
        <f>+$N$3</f>
        <v>1.0029999999999999</v>
      </c>
      <c r="O12" s="888">
        <f>+$O$3</f>
        <v>1.0209999999999999</v>
      </c>
      <c r="P12" s="885">
        <f t="shared" si="4"/>
        <v>1.032</v>
      </c>
      <c r="Q12" s="886">
        <f t="shared" si="5"/>
        <v>1.0349999999999999</v>
      </c>
      <c r="R12" s="889">
        <f t="shared" si="1"/>
        <v>1.3319480854780448</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row>
    <row r="13" spans="1:247">
      <c r="A13" s="4">
        <v>1443</v>
      </c>
      <c r="B13" s="9" t="s">
        <v>20</v>
      </c>
      <c r="C13" s="10" t="s">
        <v>8</v>
      </c>
      <c r="D13" s="878" t="s">
        <v>2342</v>
      </c>
      <c r="E13" s="885">
        <f t="shared" si="2"/>
        <v>1.0740000000000001</v>
      </c>
      <c r="F13" s="880">
        <f t="shared" si="0"/>
        <v>1.0209999999999999</v>
      </c>
      <c r="G13" s="886">
        <f t="shared" si="3"/>
        <v>1.0269999999999999</v>
      </c>
      <c r="H13" s="885">
        <f>+$H$3</f>
        <v>1.0029999999999999</v>
      </c>
      <c r="I13" s="887">
        <f>+$I$3</f>
        <v>1.0289999999999999</v>
      </c>
      <c r="J13" s="887">
        <f>+$J$3</f>
        <v>1.0049999999999999</v>
      </c>
      <c r="K13" s="887"/>
      <c r="L13" s="887"/>
      <c r="M13" s="887">
        <f>+$M$3</f>
        <v>1.0029999999999999</v>
      </c>
      <c r="N13" s="886">
        <f>+$N$3</f>
        <v>1.0029999999999999</v>
      </c>
      <c r="O13" s="888"/>
      <c r="P13" s="885">
        <f t="shared" si="4"/>
        <v>1.032</v>
      </c>
      <c r="Q13" s="886">
        <f t="shared" si="5"/>
        <v>1.0349999999999999</v>
      </c>
      <c r="R13" s="889">
        <f t="shared" si="1"/>
        <v>1.2551763558420395</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1:247">
      <c r="A14" s="4">
        <v>1446</v>
      </c>
      <c r="B14" s="9" t="s">
        <v>21</v>
      </c>
      <c r="C14" s="10" t="s">
        <v>8</v>
      </c>
      <c r="D14" s="878" t="s">
        <v>2342</v>
      </c>
      <c r="E14" s="885">
        <f t="shared" si="2"/>
        <v>1.0740000000000001</v>
      </c>
      <c r="F14" s="880">
        <f t="shared" si="0"/>
        <v>1.0209999999999999</v>
      </c>
      <c r="G14" s="886">
        <f t="shared" si="3"/>
        <v>1.0269999999999999</v>
      </c>
      <c r="H14" s="885"/>
      <c r="I14" s="887">
        <f>+$I$3</f>
        <v>1.0289999999999999</v>
      </c>
      <c r="J14" s="887">
        <f>+$J$3</f>
        <v>1.0049999999999999</v>
      </c>
      <c r="K14" s="887">
        <f>+$K$3</f>
        <v>1.026</v>
      </c>
      <c r="L14" s="887">
        <f>+$L$3</f>
        <v>1.0129999999999999</v>
      </c>
      <c r="M14" s="887">
        <f>+$M$3</f>
        <v>1.0029999999999999</v>
      </c>
      <c r="N14" s="886">
        <f>+$N$3</f>
        <v>1.0029999999999999</v>
      </c>
      <c r="O14" s="888">
        <f>+$O$3</f>
        <v>1.0209999999999999</v>
      </c>
      <c r="P14" s="885">
        <f t="shared" si="4"/>
        <v>1.032</v>
      </c>
      <c r="Q14" s="886">
        <f t="shared" si="5"/>
        <v>1.0349999999999999</v>
      </c>
      <c r="R14" s="889">
        <f t="shared" si="1"/>
        <v>1.3279641928993471</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row>
    <row r="15" spans="1:247">
      <c r="A15" s="4">
        <v>1491</v>
      </c>
      <c r="B15" s="9" t="s">
        <v>22</v>
      </c>
      <c r="C15" s="10" t="s">
        <v>10</v>
      </c>
      <c r="D15" s="878" t="s">
        <v>2340</v>
      </c>
      <c r="E15" s="885">
        <f t="shared" si="2"/>
        <v>1.0740000000000001</v>
      </c>
      <c r="F15" s="880">
        <f t="shared" si="0"/>
        <v>1.0209999999999999</v>
      </c>
      <c r="G15" s="886">
        <f t="shared" si="3"/>
        <v>1.0269999999999999</v>
      </c>
      <c r="H15" s="885"/>
      <c r="I15" s="887"/>
      <c r="J15" s="887"/>
      <c r="K15" s="887"/>
      <c r="L15" s="887"/>
      <c r="M15" s="887"/>
      <c r="N15" s="886"/>
      <c r="O15" s="888">
        <f>+$O$3</f>
        <v>1.0209999999999999</v>
      </c>
      <c r="P15" s="885">
        <f t="shared" si="4"/>
        <v>1.032</v>
      </c>
      <c r="Q15" s="886">
        <f t="shared" si="5"/>
        <v>1.0349999999999999</v>
      </c>
      <c r="R15" s="889">
        <f t="shared" si="1"/>
        <v>1.2281354183505979</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row>
    <row r="16" spans="1:247">
      <c r="A16" s="4">
        <v>1493</v>
      </c>
      <c r="B16" s="9" t="s">
        <v>23</v>
      </c>
      <c r="C16" s="10" t="s">
        <v>10</v>
      </c>
      <c r="D16" s="878" t="s">
        <v>2340</v>
      </c>
      <c r="E16" s="885"/>
      <c r="F16" s="880">
        <f t="shared" si="0"/>
        <v>1.0209999999999999</v>
      </c>
      <c r="G16" s="886">
        <f t="shared" si="3"/>
        <v>1.0269999999999999</v>
      </c>
      <c r="H16" s="885"/>
      <c r="I16" s="887"/>
      <c r="J16" s="887"/>
      <c r="K16" s="887"/>
      <c r="L16" s="887"/>
      <c r="M16" s="887"/>
      <c r="N16" s="886"/>
      <c r="O16" s="888"/>
      <c r="P16" s="885">
        <f t="shared" si="4"/>
        <v>1.032</v>
      </c>
      <c r="Q16" s="886">
        <f t="shared" si="5"/>
        <v>1.0349999999999999</v>
      </c>
      <c r="R16" s="889">
        <f t="shared" si="1"/>
        <v>1.1199953840399997</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row>
    <row r="17" spans="1:247">
      <c r="A17" s="4">
        <v>1495</v>
      </c>
      <c r="B17" s="9" t="s">
        <v>24</v>
      </c>
      <c r="C17" s="10" t="s">
        <v>10</v>
      </c>
      <c r="D17" s="878" t="s">
        <v>2340</v>
      </c>
      <c r="E17" s="885"/>
      <c r="F17" s="880">
        <f t="shared" si="0"/>
        <v>1.0209999999999999</v>
      </c>
      <c r="G17" s="886"/>
      <c r="H17" s="885"/>
      <c r="I17" s="887"/>
      <c r="J17" s="887"/>
      <c r="K17" s="887"/>
      <c r="L17" s="887"/>
      <c r="M17" s="887"/>
      <c r="N17" s="886"/>
      <c r="O17" s="888"/>
      <c r="P17" s="885"/>
      <c r="Q17" s="886"/>
      <c r="R17" s="889">
        <f t="shared" si="1"/>
        <v>1.0209999999999999</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c r="A18" s="4">
        <v>1513</v>
      </c>
      <c r="B18" s="9" t="s">
        <v>26</v>
      </c>
      <c r="C18" s="10" t="s">
        <v>3</v>
      </c>
      <c r="D18" s="878" t="s">
        <v>2340</v>
      </c>
      <c r="E18" s="885"/>
      <c r="F18" s="880">
        <f t="shared" si="0"/>
        <v>1.0209999999999999</v>
      </c>
      <c r="G18" s="886"/>
      <c r="H18" s="885"/>
      <c r="I18" s="887"/>
      <c r="J18" s="887"/>
      <c r="K18" s="887"/>
      <c r="L18" s="887"/>
      <c r="M18" s="887"/>
      <c r="N18" s="886"/>
      <c r="O18" s="888"/>
      <c r="P18" s="885">
        <f>+$P$3</f>
        <v>1.032</v>
      </c>
      <c r="Q18" s="886">
        <f>+$Q$3</f>
        <v>1.0349999999999999</v>
      </c>
      <c r="R18" s="889">
        <f t="shared" si="1"/>
        <v>1.0905505199999999</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c r="A19" s="4">
        <v>1541</v>
      </c>
      <c r="B19" s="9" t="s">
        <v>27</v>
      </c>
      <c r="C19" s="10" t="s">
        <v>6</v>
      </c>
      <c r="D19" s="878" t="s">
        <v>2340</v>
      </c>
      <c r="E19" s="885"/>
      <c r="F19" s="880">
        <f t="shared" si="0"/>
        <v>1.0209999999999999</v>
      </c>
      <c r="G19" s="886"/>
      <c r="H19" s="885"/>
      <c r="I19" s="887"/>
      <c r="J19" s="887"/>
      <c r="K19" s="887"/>
      <c r="L19" s="887"/>
      <c r="M19" s="887"/>
      <c r="N19" s="886"/>
      <c r="O19" s="888"/>
      <c r="P19" s="885"/>
      <c r="Q19" s="886"/>
      <c r="R19" s="889">
        <f t="shared" si="1"/>
        <v>1.0209999999999999</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row>
    <row r="20" spans="1:247">
      <c r="A20" s="4">
        <v>1551</v>
      </c>
      <c r="B20" s="9" t="s">
        <v>28</v>
      </c>
      <c r="C20" s="10" t="s">
        <v>29</v>
      </c>
      <c r="D20" s="878" t="s">
        <v>2340</v>
      </c>
      <c r="E20" s="885"/>
      <c r="F20" s="880">
        <f t="shared" si="0"/>
        <v>1.0209999999999999</v>
      </c>
      <c r="G20" s="886"/>
      <c r="H20" s="885"/>
      <c r="I20" s="887"/>
      <c r="J20" s="887"/>
      <c r="K20" s="887"/>
      <c r="L20" s="887"/>
      <c r="M20" s="887"/>
      <c r="N20" s="886"/>
      <c r="O20" s="888"/>
      <c r="P20" s="885">
        <f>+$P$3</f>
        <v>1.032</v>
      </c>
      <c r="Q20" s="886">
        <f>+$Q$3</f>
        <v>1.0349999999999999</v>
      </c>
      <c r="R20" s="889">
        <f t="shared" si="1"/>
        <v>1.0905505199999999</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row>
    <row r="21" spans="1:247">
      <c r="A21" s="4">
        <v>1552</v>
      </c>
      <c r="B21" s="9" t="s">
        <v>30</v>
      </c>
      <c r="C21" s="10" t="s">
        <v>8</v>
      </c>
      <c r="D21" s="878" t="s">
        <v>2342</v>
      </c>
      <c r="E21" s="885"/>
      <c r="F21" s="880">
        <f t="shared" si="0"/>
        <v>1.0209999999999999</v>
      </c>
      <c r="G21" s="886"/>
      <c r="H21" s="885"/>
      <c r="I21" s="887"/>
      <c r="J21" s="887">
        <f>+$J$3</f>
        <v>1.0049999999999999</v>
      </c>
      <c r="K21" s="887"/>
      <c r="L21" s="887"/>
      <c r="M21" s="887"/>
      <c r="N21" s="886">
        <f>+$N$3</f>
        <v>1.0029999999999999</v>
      </c>
      <c r="O21" s="888">
        <f>+$O$3</f>
        <v>1.0209999999999999</v>
      </c>
      <c r="P21" s="885">
        <f>+$P$3</f>
        <v>1.032</v>
      </c>
      <c r="Q21" s="886">
        <f>+$Q$3</f>
        <v>1.0349999999999999</v>
      </c>
      <c r="R21" s="889">
        <f t="shared" si="1"/>
        <v>1.1223763993485734</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row>
    <row r="22" spans="1:247">
      <c r="A22" s="4">
        <v>1591</v>
      </c>
      <c r="B22" s="9" t="s">
        <v>31</v>
      </c>
      <c r="C22" s="10" t="s">
        <v>10</v>
      </c>
      <c r="D22" s="878" t="s">
        <v>2340</v>
      </c>
      <c r="E22" s="885"/>
      <c r="F22" s="880">
        <f t="shared" si="0"/>
        <v>1.0209999999999999</v>
      </c>
      <c r="G22" s="886"/>
      <c r="H22" s="885"/>
      <c r="I22" s="887"/>
      <c r="J22" s="887"/>
      <c r="K22" s="887"/>
      <c r="L22" s="887"/>
      <c r="M22" s="887"/>
      <c r="N22" s="886"/>
      <c r="O22" s="888"/>
      <c r="P22" s="885"/>
      <c r="Q22" s="886"/>
      <c r="R22" s="889">
        <f t="shared" si="1"/>
        <v>1.0209999999999999</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row>
    <row r="23" spans="1:247">
      <c r="A23" s="4">
        <v>1593</v>
      </c>
      <c r="B23" s="9" t="s">
        <v>278</v>
      </c>
      <c r="C23" s="10" t="s">
        <v>3</v>
      </c>
      <c r="D23" s="878" t="s">
        <v>2340</v>
      </c>
      <c r="E23" s="885"/>
      <c r="F23" s="880">
        <f t="shared" si="0"/>
        <v>1.0209999999999999</v>
      </c>
      <c r="G23" s="886"/>
      <c r="H23" s="885"/>
      <c r="I23" s="887"/>
      <c r="J23" s="887"/>
      <c r="K23" s="887"/>
      <c r="L23" s="887"/>
      <c r="M23" s="887"/>
      <c r="N23" s="886"/>
      <c r="O23" s="888"/>
      <c r="P23" s="885"/>
      <c r="Q23" s="886"/>
      <c r="R23" s="889">
        <f>PRODUCT(E23:Q23)</f>
        <v>1.0209999999999999</v>
      </c>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row>
    <row r="24" spans="1:247">
      <c r="A24" s="4">
        <v>1641</v>
      </c>
      <c r="B24" s="9" t="s">
        <v>32</v>
      </c>
      <c r="C24" s="10" t="s">
        <v>6</v>
      </c>
      <c r="D24" s="878" t="s">
        <v>2340</v>
      </c>
      <c r="E24" s="885"/>
      <c r="F24" s="880">
        <f t="shared" si="0"/>
        <v>1.0209999999999999</v>
      </c>
      <c r="G24" s="886"/>
      <c r="H24" s="885"/>
      <c r="I24" s="887"/>
      <c r="J24" s="887"/>
      <c r="K24" s="887"/>
      <c r="L24" s="887"/>
      <c r="M24" s="887"/>
      <c r="N24" s="886"/>
      <c r="O24" s="888"/>
      <c r="P24" s="885"/>
      <c r="Q24" s="886"/>
      <c r="R24" s="889">
        <f t="shared" si="1"/>
        <v>1.0209999999999999</v>
      </c>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row>
    <row r="25" spans="1:247">
      <c r="A25" s="4">
        <v>1725</v>
      </c>
      <c r="B25" s="9" t="s">
        <v>33</v>
      </c>
      <c r="C25" s="10" t="s">
        <v>10</v>
      </c>
      <c r="D25" s="878" t="s">
        <v>2340</v>
      </c>
      <c r="E25" s="885"/>
      <c r="F25" s="880">
        <f t="shared" si="0"/>
        <v>1.0209999999999999</v>
      </c>
      <c r="G25" s="886">
        <f>+$G$3</f>
        <v>1.0269999999999999</v>
      </c>
      <c r="H25" s="885"/>
      <c r="I25" s="887"/>
      <c r="J25" s="887"/>
      <c r="K25" s="887"/>
      <c r="L25" s="887">
        <f>+$L$3</f>
        <v>1.0129999999999999</v>
      </c>
      <c r="M25" s="887"/>
      <c r="N25" s="886">
        <f>+$N$3</f>
        <v>1.0029999999999999</v>
      </c>
      <c r="O25" s="888"/>
      <c r="P25" s="885">
        <f>+$P$3</f>
        <v>1.032</v>
      </c>
      <c r="Q25" s="886">
        <f>+$Q$3</f>
        <v>1.0349999999999999</v>
      </c>
      <c r="R25" s="889">
        <f t="shared" si="1"/>
        <v>1.1379589900046172</v>
      </c>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row>
    <row r="26" spans="1:247">
      <c r="A26" s="4">
        <v>1745</v>
      </c>
      <c r="B26" s="9" t="s">
        <v>35</v>
      </c>
      <c r="C26" s="10" t="s">
        <v>34</v>
      </c>
      <c r="D26" s="878" t="s">
        <v>2340</v>
      </c>
      <c r="E26" s="885"/>
      <c r="F26" s="880">
        <f t="shared" si="0"/>
        <v>1.0209999999999999</v>
      </c>
      <c r="G26" s="886"/>
      <c r="H26" s="885"/>
      <c r="I26" s="887"/>
      <c r="J26" s="887"/>
      <c r="K26" s="887"/>
      <c r="L26" s="887"/>
      <c r="M26" s="887"/>
      <c r="N26" s="886"/>
      <c r="O26" s="888"/>
      <c r="P26" s="885"/>
      <c r="Q26" s="886"/>
      <c r="R26" s="889">
        <f t="shared" si="1"/>
        <v>1.0209999999999999</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row>
    <row r="27" spans="1:247">
      <c r="A27" s="4">
        <v>1750</v>
      </c>
      <c r="B27" s="9" t="s">
        <v>36</v>
      </c>
      <c r="C27" s="10" t="s">
        <v>37</v>
      </c>
      <c r="D27" s="878" t="s">
        <v>2340</v>
      </c>
      <c r="E27" s="885"/>
      <c r="F27" s="880">
        <f t="shared" si="0"/>
        <v>1.0209999999999999</v>
      </c>
      <c r="G27" s="886">
        <f t="shared" ref="G27:G61" si="6">+$G$3</f>
        <v>1.0269999999999999</v>
      </c>
      <c r="H27" s="885"/>
      <c r="I27" s="887"/>
      <c r="J27" s="887"/>
      <c r="K27" s="887"/>
      <c r="L27" s="887"/>
      <c r="M27" s="887"/>
      <c r="N27" s="886"/>
      <c r="O27" s="888"/>
      <c r="P27" s="885"/>
      <c r="Q27" s="886"/>
      <c r="R27" s="889">
        <f t="shared" si="1"/>
        <v>1.0485669999999998</v>
      </c>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row>
    <row r="28" spans="1:247">
      <c r="A28" s="4">
        <v>1751</v>
      </c>
      <c r="B28" s="9" t="s">
        <v>38</v>
      </c>
      <c r="C28" s="10" t="s">
        <v>37</v>
      </c>
      <c r="D28" s="878" t="s">
        <v>2340</v>
      </c>
      <c r="E28" s="885"/>
      <c r="F28" s="880">
        <f t="shared" si="0"/>
        <v>1.0209999999999999</v>
      </c>
      <c r="G28" s="886">
        <f t="shared" si="6"/>
        <v>1.0269999999999999</v>
      </c>
      <c r="H28" s="885"/>
      <c r="I28" s="887"/>
      <c r="J28" s="887"/>
      <c r="K28" s="887"/>
      <c r="L28" s="887"/>
      <c r="M28" s="887"/>
      <c r="N28" s="886"/>
      <c r="O28" s="888"/>
      <c r="P28" s="885"/>
      <c r="Q28" s="886"/>
      <c r="R28" s="889">
        <f t="shared" si="1"/>
        <v>1.0485669999999998</v>
      </c>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row>
    <row r="29" spans="1:247">
      <c r="A29" s="4">
        <v>1752</v>
      </c>
      <c r="B29" s="9" t="s">
        <v>39</v>
      </c>
      <c r="C29" s="10" t="s">
        <v>37</v>
      </c>
      <c r="D29" s="878" t="s">
        <v>2340</v>
      </c>
      <c r="E29" s="885"/>
      <c r="F29" s="880">
        <f t="shared" si="0"/>
        <v>1.0209999999999999</v>
      </c>
      <c r="G29" s="886">
        <f t="shared" si="6"/>
        <v>1.0269999999999999</v>
      </c>
      <c r="H29" s="885"/>
      <c r="I29" s="887"/>
      <c r="J29" s="887"/>
      <c r="K29" s="887"/>
      <c r="L29" s="887"/>
      <c r="M29" s="887"/>
      <c r="N29" s="886"/>
      <c r="O29" s="888"/>
      <c r="P29" s="885"/>
      <c r="Q29" s="886"/>
      <c r="R29" s="889">
        <f t="shared" si="1"/>
        <v>1.0485669999999998</v>
      </c>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row>
    <row r="30" spans="1:247">
      <c r="A30" s="4">
        <v>1753</v>
      </c>
      <c r="B30" s="9" t="s">
        <v>40</v>
      </c>
      <c r="C30" s="10" t="s">
        <v>37</v>
      </c>
      <c r="D30" s="878" t="s">
        <v>2340</v>
      </c>
      <c r="E30" s="885"/>
      <c r="F30" s="880">
        <f t="shared" si="0"/>
        <v>1.0209999999999999</v>
      </c>
      <c r="G30" s="886">
        <f t="shared" si="6"/>
        <v>1.0269999999999999</v>
      </c>
      <c r="H30" s="885"/>
      <c r="I30" s="887"/>
      <c r="J30" s="887"/>
      <c r="K30" s="887"/>
      <c r="L30" s="887"/>
      <c r="M30" s="887"/>
      <c r="N30" s="886"/>
      <c r="O30" s="888"/>
      <c r="P30" s="885"/>
      <c r="Q30" s="886"/>
      <c r="R30" s="889">
        <f t="shared" si="1"/>
        <v>1.0485669999999998</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row>
    <row r="31" spans="1:247">
      <c r="A31" s="4">
        <v>1754</v>
      </c>
      <c r="B31" s="9" t="s">
        <v>41</v>
      </c>
      <c r="C31" s="10" t="s">
        <v>37</v>
      </c>
      <c r="D31" s="878" t="s">
        <v>2340</v>
      </c>
      <c r="E31" s="885"/>
      <c r="F31" s="880">
        <f t="shared" si="0"/>
        <v>1.0209999999999999</v>
      </c>
      <c r="G31" s="886">
        <f t="shared" si="6"/>
        <v>1.0269999999999999</v>
      </c>
      <c r="H31" s="885"/>
      <c r="I31" s="887"/>
      <c r="J31" s="887"/>
      <c r="K31" s="887"/>
      <c r="L31" s="887"/>
      <c r="M31" s="887"/>
      <c r="N31" s="886"/>
      <c r="O31" s="888"/>
      <c r="P31" s="885"/>
      <c r="Q31" s="886"/>
      <c r="R31" s="889">
        <f t="shared" si="1"/>
        <v>1.0485669999999998</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c r="A32" s="4">
        <v>1755</v>
      </c>
      <c r="B32" s="9" t="s">
        <v>42</v>
      </c>
      <c r="C32" s="10" t="s">
        <v>37</v>
      </c>
      <c r="D32" s="878" t="s">
        <v>2340</v>
      </c>
      <c r="E32" s="885"/>
      <c r="F32" s="880">
        <f t="shared" si="0"/>
        <v>1.0209999999999999</v>
      </c>
      <c r="G32" s="886">
        <f t="shared" si="6"/>
        <v>1.0269999999999999</v>
      </c>
      <c r="H32" s="885"/>
      <c r="I32" s="887"/>
      <c r="J32" s="887"/>
      <c r="K32" s="887"/>
      <c r="L32" s="887"/>
      <c r="M32" s="887"/>
      <c r="N32" s="886"/>
      <c r="O32" s="888"/>
      <c r="P32" s="885"/>
      <c r="Q32" s="886"/>
      <c r="R32" s="889">
        <f t="shared" si="1"/>
        <v>1.0485669999999998</v>
      </c>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row>
    <row r="33" spans="1:247">
      <c r="A33" s="4">
        <v>1756</v>
      </c>
      <c r="B33" s="9" t="s">
        <v>43</v>
      </c>
      <c r="C33" s="10" t="s">
        <v>37</v>
      </c>
      <c r="D33" s="878" t="s">
        <v>2340</v>
      </c>
      <c r="E33" s="885"/>
      <c r="F33" s="880">
        <f t="shared" si="0"/>
        <v>1.0209999999999999</v>
      </c>
      <c r="G33" s="886">
        <f t="shared" si="6"/>
        <v>1.0269999999999999</v>
      </c>
      <c r="H33" s="885"/>
      <c r="I33" s="887"/>
      <c r="J33" s="887"/>
      <c r="K33" s="887"/>
      <c r="L33" s="887"/>
      <c r="M33" s="887"/>
      <c r="N33" s="886"/>
      <c r="O33" s="888"/>
      <c r="P33" s="885"/>
      <c r="Q33" s="886"/>
      <c r="R33" s="889">
        <f t="shared" si="1"/>
        <v>1.0485669999999998</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row>
    <row r="34" spans="1:247">
      <c r="A34" s="4">
        <v>1757</v>
      </c>
      <c r="B34" s="9" t="s">
        <v>44</v>
      </c>
      <c r="C34" s="10" t="s">
        <v>37</v>
      </c>
      <c r="D34" s="878" t="s">
        <v>2340</v>
      </c>
      <c r="E34" s="885"/>
      <c r="F34" s="880">
        <f t="shared" si="0"/>
        <v>1.0209999999999999</v>
      </c>
      <c r="G34" s="886">
        <f t="shared" si="6"/>
        <v>1.0269999999999999</v>
      </c>
      <c r="H34" s="885"/>
      <c r="I34" s="887"/>
      <c r="J34" s="887"/>
      <c r="K34" s="887"/>
      <c r="L34" s="887"/>
      <c r="M34" s="887"/>
      <c r="N34" s="886"/>
      <c r="O34" s="888"/>
      <c r="P34" s="885"/>
      <c r="Q34" s="886"/>
      <c r="R34" s="889">
        <f t="shared" si="1"/>
        <v>1.0485669999999998</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row>
    <row r="35" spans="1:247">
      <c r="A35" s="4">
        <v>1758</v>
      </c>
      <c r="B35" s="9" t="s">
        <v>45</v>
      </c>
      <c r="C35" s="10" t="s">
        <v>37</v>
      </c>
      <c r="D35" s="878" t="s">
        <v>2340</v>
      </c>
      <c r="E35" s="885"/>
      <c r="F35" s="880">
        <f t="shared" si="0"/>
        <v>1.0209999999999999</v>
      </c>
      <c r="G35" s="886">
        <f t="shared" si="6"/>
        <v>1.0269999999999999</v>
      </c>
      <c r="H35" s="885"/>
      <c r="I35" s="887"/>
      <c r="J35" s="887"/>
      <c r="K35" s="887"/>
      <c r="L35" s="887"/>
      <c r="M35" s="887"/>
      <c r="N35" s="886"/>
      <c r="O35" s="888"/>
      <c r="P35" s="885"/>
      <c r="Q35" s="886"/>
      <c r="R35" s="889">
        <f t="shared" si="1"/>
        <v>1.0485669999999998</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row>
    <row r="36" spans="1:247">
      <c r="A36" s="4">
        <v>1760</v>
      </c>
      <c r="B36" s="9" t="s">
        <v>46</v>
      </c>
      <c r="C36" s="10" t="s">
        <v>37</v>
      </c>
      <c r="D36" s="878" t="s">
        <v>2340</v>
      </c>
      <c r="E36" s="885"/>
      <c r="F36" s="880">
        <f t="shared" si="0"/>
        <v>1.0209999999999999</v>
      </c>
      <c r="G36" s="886">
        <f t="shared" si="6"/>
        <v>1.0269999999999999</v>
      </c>
      <c r="H36" s="885"/>
      <c r="I36" s="887"/>
      <c r="J36" s="887"/>
      <c r="K36" s="887"/>
      <c r="L36" s="887"/>
      <c r="M36" s="887"/>
      <c r="N36" s="886"/>
      <c r="O36" s="888"/>
      <c r="P36" s="885"/>
      <c r="Q36" s="886"/>
      <c r="R36" s="889">
        <f t="shared" si="1"/>
        <v>1.0485669999999998</v>
      </c>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row>
    <row r="37" spans="1:247">
      <c r="A37" s="4">
        <v>1761</v>
      </c>
      <c r="B37" s="9" t="s">
        <v>47</v>
      </c>
      <c r="C37" s="10" t="s">
        <v>37</v>
      </c>
      <c r="D37" s="878" t="s">
        <v>2340</v>
      </c>
      <c r="E37" s="885"/>
      <c r="F37" s="880">
        <f t="shared" si="0"/>
        <v>1.0209999999999999</v>
      </c>
      <c r="G37" s="886">
        <f t="shared" si="6"/>
        <v>1.0269999999999999</v>
      </c>
      <c r="H37" s="885"/>
      <c r="I37" s="887"/>
      <c r="J37" s="887"/>
      <c r="K37" s="887"/>
      <c r="L37" s="887"/>
      <c r="M37" s="887"/>
      <c r="N37" s="886"/>
      <c r="O37" s="888"/>
      <c r="P37" s="885"/>
      <c r="Q37" s="886"/>
      <c r="R37" s="889">
        <f t="shared" si="1"/>
        <v>1.0485669999999998</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row>
    <row r="38" spans="1:247">
      <c r="A38" s="4">
        <v>1762</v>
      </c>
      <c r="B38" s="9" t="s">
        <v>48</v>
      </c>
      <c r="C38" s="10" t="s">
        <v>49</v>
      </c>
      <c r="D38" s="878" t="s">
        <v>2340</v>
      </c>
      <c r="E38" s="885"/>
      <c r="F38" s="880">
        <f t="shared" si="0"/>
        <v>1.0209999999999999</v>
      </c>
      <c r="G38" s="886">
        <f t="shared" si="6"/>
        <v>1.0269999999999999</v>
      </c>
      <c r="H38" s="885"/>
      <c r="I38" s="887"/>
      <c r="J38" s="887"/>
      <c r="K38" s="887"/>
      <c r="L38" s="887"/>
      <c r="M38" s="887"/>
      <c r="N38" s="886"/>
      <c r="O38" s="888"/>
      <c r="P38" s="885"/>
      <c r="Q38" s="886"/>
      <c r="R38" s="889">
        <f t="shared" si="1"/>
        <v>1.0485669999999998</v>
      </c>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row>
    <row r="39" spans="1:247">
      <c r="A39" s="4">
        <v>1763</v>
      </c>
      <c r="B39" s="9" t="s">
        <v>50</v>
      </c>
      <c r="C39" s="10" t="s">
        <v>37</v>
      </c>
      <c r="D39" s="878" t="s">
        <v>2340</v>
      </c>
      <c r="E39" s="885"/>
      <c r="F39" s="880">
        <f t="shared" si="0"/>
        <v>1.0209999999999999</v>
      </c>
      <c r="G39" s="886">
        <f t="shared" si="6"/>
        <v>1.0269999999999999</v>
      </c>
      <c r="H39" s="885"/>
      <c r="I39" s="887"/>
      <c r="J39" s="887"/>
      <c r="K39" s="887"/>
      <c r="L39" s="887"/>
      <c r="M39" s="887"/>
      <c r="N39" s="886"/>
      <c r="O39" s="888"/>
      <c r="P39" s="885"/>
      <c r="Q39" s="886"/>
      <c r="R39" s="889">
        <f t="shared" si="1"/>
        <v>1.0485669999999998</v>
      </c>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row>
    <row r="40" spans="1:247">
      <c r="A40" s="4">
        <v>1764</v>
      </c>
      <c r="B40" s="9" t="s">
        <v>51</v>
      </c>
      <c r="C40" s="10" t="s">
        <v>49</v>
      </c>
      <c r="D40" s="878" t="s">
        <v>2340</v>
      </c>
      <c r="E40" s="885"/>
      <c r="F40" s="880">
        <f t="shared" si="0"/>
        <v>1.0209999999999999</v>
      </c>
      <c r="G40" s="886">
        <f t="shared" si="6"/>
        <v>1.0269999999999999</v>
      </c>
      <c r="H40" s="885"/>
      <c r="I40" s="887"/>
      <c r="J40" s="887"/>
      <c r="K40" s="887"/>
      <c r="L40" s="887"/>
      <c r="M40" s="887"/>
      <c r="N40" s="886"/>
      <c r="O40" s="888"/>
      <c r="P40" s="885"/>
      <c r="Q40" s="886"/>
      <c r="R40" s="889">
        <f t="shared" si="1"/>
        <v>1.0485669999999998</v>
      </c>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row>
    <row r="41" spans="1:247">
      <c r="A41" s="4">
        <v>1765</v>
      </c>
      <c r="B41" s="9" t="s">
        <v>52</v>
      </c>
      <c r="C41" s="10" t="s">
        <v>10</v>
      </c>
      <c r="D41" s="878" t="s">
        <v>2340</v>
      </c>
      <c r="E41" s="885"/>
      <c r="F41" s="880">
        <f t="shared" si="0"/>
        <v>1.0209999999999999</v>
      </c>
      <c r="G41" s="886">
        <f t="shared" si="6"/>
        <v>1.0269999999999999</v>
      </c>
      <c r="H41" s="885"/>
      <c r="I41" s="887"/>
      <c r="J41" s="887"/>
      <c r="K41" s="887"/>
      <c r="L41" s="887"/>
      <c r="M41" s="887"/>
      <c r="N41" s="886"/>
      <c r="O41" s="888"/>
      <c r="P41" s="885"/>
      <c r="Q41" s="886"/>
      <c r="R41" s="889">
        <f t="shared" si="1"/>
        <v>1.0485669999999998</v>
      </c>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row>
    <row r="42" spans="1:247">
      <c r="A42" s="4">
        <v>1766</v>
      </c>
      <c r="B42" s="9" t="s">
        <v>53</v>
      </c>
      <c r="C42" s="10" t="s">
        <v>10</v>
      </c>
      <c r="D42" s="878" t="s">
        <v>2340</v>
      </c>
      <c r="E42" s="885"/>
      <c r="F42" s="880">
        <f t="shared" si="0"/>
        <v>1.0209999999999999</v>
      </c>
      <c r="G42" s="886">
        <f t="shared" si="6"/>
        <v>1.0269999999999999</v>
      </c>
      <c r="H42" s="885"/>
      <c r="I42" s="887"/>
      <c r="J42" s="887"/>
      <c r="K42" s="887"/>
      <c r="L42" s="887"/>
      <c r="M42" s="887"/>
      <c r="N42" s="886"/>
      <c r="O42" s="888"/>
      <c r="P42" s="885"/>
      <c r="Q42" s="886"/>
      <c r="R42" s="889">
        <f t="shared" si="1"/>
        <v>1.0485669999999998</v>
      </c>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row>
    <row r="43" spans="1:247">
      <c r="A43" s="4">
        <v>1767</v>
      </c>
      <c r="B43" s="9" t="s">
        <v>54</v>
      </c>
      <c r="C43" s="10" t="s">
        <v>10</v>
      </c>
      <c r="D43" s="878" t="s">
        <v>2340</v>
      </c>
      <c r="E43" s="885"/>
      <c r="F43" s="880">
        <f t="shared" si="0"/>
        <v>1.0209999999999999</v>
      </c>
      <c r="G43" s="886">
        <f t="shared" si="6"/>
        <v>1.0269999999999999</v>
      </c>
      <c r="H43" s="885"/>
      <c r="I43" s="887"/>
      <c r="J43" s="887"/>
      <c r="K43" s="887"/>
      <c r="L43" s="887"/>
      <c r="M43" s="887"/>
      <c r="N43" s="886"/>
      <c r="O43" s="888"/>
      <c r="P43" s="885"/>
      <c r="Q43" s="886"/>
      <c r="R43" s="889">
        <f t="shared" si="1"/>
        <v>1.0485669999999998</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row>
    <row r="44" spans="1:247">
      <c r="A44" s="4">
        <v>1768</v>
      </c>
      <c r="B44" s="9" t="s">
        <v>55</v>
      </c>
      <c r="C44" s="10" t="s">
        <v>10</v>
      </c>
      <c r="D44" s="878" t="s">
        <v>2340</v>
      </c>
      <c r="E44" s="885"/>
      <c r="F44" s="880">
        <f t="shared" si="0"/>
        <v>1.0209999999999999</v>
      </c>
      <c r="G44" s="886">
        <f t="shared" si="6"/>
        <v>1.0269999999999999</v>
      </c>
      <c r="H44" s="885"/>
      <c r="I44" s="887"/>
      <c r="J44" s="887"/>
      <c r="K44" s="887"/>
      <c r="L44" s="887"/>
      <c r="M44" s="887"/>
      <c r="N44" s="886"/>
      <c r="O44" s="888"/>
      <c r="P44" s="885"/>
      <c r="Q44" s="886"/>
      <c r="R44" s="889">
        <f t="shared" si="1"/>
        <v>1.0485669999999998</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row>
    <row r="45" spans="1:247">
      <c r="A45" s="4">
        <v>1769</v>
      </c>
      <c r="B45" s="9" t="s">
        <v>56</v>
      </c>
      <c r="C45" s="10" t="s">
        <v>10</v>
      </c>
      <c r="D45" s="878" t="s">
        <v>2340</v>
      </c>
      <c r="E45" s="885"/>
      <c r="F45" s="880">
        <f t="shared" si="0"/>
        <v>1.0209999999999999</v>
      </c>
      <c r="G45" s="886">
        <f t="shared" si="6"/>
        <v>1.0269999999999999</v>
      </c>
      <c r="H45" s="885"/>
      <c r="I45" s="887"/>
      <c r="J45" s="887"/>
      <c r="K45" s="887"/>
      <c r="L45" s="887"/>
      <c r="M45" s="887"/>
      <c r="N45" s="886"/>
      <c r="O45" s="888"/>
      <c r="P45" s="885"/>
      <c r="Q45" s="886"/>
      <c r="R45" s="889">
        <f t="shared" si="1"/>
        <v>1.0485669999999998</v>
      </c>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row>
    <row r="46" spans="1:247">
      <c r="A46" s="4">
        <v>1771</v>
      </c>
      <c r="B46" s="9" t="s">
        <v>57</v>
      </c>
      <c r="C46" s="10" t="s">
        <v>49</v>
      </c>
      <c r="D46" s="878" t="s">
        <v>2340</v>
      </c>
      <c r="E46" s="885"/>
      <c r="F46" s="880">
        <f t="shared" si="0"/>
        <v>1.0209999999999999</v>
      </c>
      <c r="G46" s="886">
        <f t="shared" si="6"/>
        <v>1.0269999999999999</v>
      </c>
      <c r="H46" s="885"/>
      <c r="I46" s="887"/>
      <c r="J46" s="887"/>
      <c r="K46" s="887"/>
      <c r="L46" s="887"/>
      <c r="M46" s="887"/>
      <c r="N46" s="886"/>
      <c r="O46" s="888"/>
      <c r="P46" s="885">
        <f>+$P$3</f>
        <v>1.032</v>
      </c>
      <c r="Q46" s="886"/>
      <c r="R46" s="889">
        <f t="shared" si="1"/>
        <v>1.0821211439999998</v>
      </c>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row>
    <row r="47" spans="1:247">
      <c r="A47" s="4">
        <v>1772</v>
      </c>
      <c r="B47" s="9" t="s">
        <v>58</v>
      </c>
      <c r="C47" s="10" t="s">
        <v>10</v>
      </c>
      <c r="D47" s="878" t="s">
        <v>2340</v>
      </c>
      <c r="E47" s="885"/>
      <c r="F47" s="880">
        <f t="shared" si="0"/>
        <v>1.0209999999999999</v>
      </c>
      <c r="G47" s="886">
        <f t="shared" si="6"/>
        <v>1.0269999999999999</v>
      </c>
      <c r="H47" s="885"/>
      <c r="I47" s="887"/>
      <c r="J47" s="887"/>
      <c r="K47" s="887"/>
      <c r="L47" s="887"/>
      <c r="M47" s="887"/>
      <c r="N47" s="886"/>
      <c r="O47" s="888"/>
      <c r="P47" s="885">
        <f>+$P$3</f>
        <v>1.032</v>
      </c>
      <c r="Q47" s="886"/>
      <c r="R47" s="889">
        <f t="shared" si="1"/>
        <v>1.0821211439999998</v>
      </c>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row>
    <row r="48" spans="1:247">
      <c r="A48" s="4">
        <v>1773</v>
      </c>
      <c r="B48" s="9" t="s">
        <v>59</v>
      </c>
      <c r="C48" s="10" t="s">
        <v>49</v>
      </c>
      <c r="D48" s="878" t="s">
        <v>2340</v>
      </c>
      <c r="E48" s="885"/>
      <c r="F48" s="880">
        <f t="shared" si="0"/>
        <v>1.0209999999999999</v>
      </c>
      <c r="G48" s="886">
        <f t="shared" si="6"/>
        <v>1.0269999999999999</v>
      </c>
      <c r="H48" s="885"/>
      <c r="I48" s="887"/>
      <c r="J48" s="887"/>
      <c r="K48" s="887"/>
      <c r="L48" s="887"/>
      <c r="M48" s="887"/>
      <c r="N48" s="886"/>
      <c r="O48" s="888"/>
      <c r="P48" s="885"/>
      <c r="Q48" s="886"/>
      <c r="R48" s="889">
        <f t="shared" si="1"/>
        <v>1.0485669999999998</v>
      </c>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row>
    <row r="49" spans="1:247">
      <c r="A49" s="4">
        <v>1774</v>
      </c>
      <c r="B49" s="9" t="s">
        <v>60</v>
      </c>
      <c r="C49" s="10" t="s">
        <v>10</v>
      </c>
      <c r="D49" s="878" t="s">
        <v>2340</v>
      </c>
      <c r="E49" s="885"/>
      <c r="F49" s="880">
        <f t="shared" si="0"/>
        <v>1.0209999999999999</v>
      </c>
      <c r="G49" s="886">
        <f t="shared" si="6"/>
        <v>1.0269999999999999</v>
      </c>
      <c r="H49" s="885"/>
      <c r="I49" s="887"/>
      <c r="J49" s="887"/>
      <c r="K49" s="887"/>
      <c r="L49" s="887"/>
      <c r="M49" s="887"/>
      <c r="N49" s="886"/>
      <c r="O49" s="888"/>
      <c r="P49" s="885"/>
      <c r="Q49" s="886"/>
      <c r="R49" s="889">
        <f t="shared" si="1"/>
        <v>1.0485669999999998</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row>
    <row r="50" spans="1:247">
      <c r="A50" s="4">
        <v>1775</v>
      </c>
      <c r="B50" s="9" t="s">
        <v>61</v>
      </c>
      <c r="C50" s="10" t="s">
        <v>10</v>
      </c>
      <c r="D50" s="878" t="s">
        <v>2340</v>
      </c>
      <c r="E50" s="885"/>
      <c r="F50" s="880">
        <f t="shared" si="0"/>
        <v>1.0209999999999999</v>
      </c>
      <c r="G50" s="886">
        <f t="shared" si="6"/>
        <v>1.0269999999999999</v>
      </c>
      <c r="H50" s="885"/>
      <c r="I50" s="887"/>
      <c r="J50" s="887"/>
      <c r="K50" s="887"/>
      <c r="L50" s="887"/>
      <c r="M50" s="887"/>
      <c r="N50" s="886"/>
      <c r="O50" s="888"/>
      <c r="P50" s="885"/>
      <c r="Q50" s="886"/>
      <c r="R50" s="889">
        <f t="shared" si="1"/>
        <v>1.0485669999999998</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row>
    <row r="51" spans="1:247">
      <c r="A51" s="4">
        <v>1776</v>
      </c>
      <c r="B51" s="9" t="s">
        <v>62</v>
      </c>
      <c r="C51" s="10" t="s">
        <v>10</v>
      </c>
      <c r="D51" s="878" t="s">
        <v>2340</v>
      </c>
      <c r="E51" s="885"/>
      <c r="F51" s="880">
        <f t="shared" si="0"/>
        <v>1.0209999999999999</v>
      </c>
      <c r="G51" s="886">
        <f t="shared" si="6"/>
        <v>1.0269999999999999</v>
      </c>
      <c r="H51" s="885"/>
      <c r="I51" s="887"/>
      <c r="J51" s="887"/>
      <c r="K51" s="887"/>
      <c r="L51" s="887"/>
      <c r="M51" s="887"/>
      <c r="N51" s="886"/>
      <c r="O51" s="888"/>
      <c r="P51" s="885">
        <f>+$P$3</f>
        <v>1.032</v>
      </c>
      <c r="Q51" s="886"/>
      <c r="R51" s="889">
        <f t="shared" si="1"/>
        <v>1.0821211439999998</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row>
    <row r="52" spans="1:247">
      <c r="A52" s="4">
        <v>1777</v>
      </c>
      <c r="B52" s="9" t="s">
        <v>63</v>
      </c>
      <c r="C52" s="10" t="s">
        <v>37</v>
      </c>
      <c r="D52" s="878" t="s">
        <v>2340</v>
      </c>
      <c r="E52" s="885"/>
      <c r="F52" s="880">
        <f t="shared" si="0"/>
        <v>1.0209999999999999</v>
      </c>
      <c r="G52" s="886">
        <f t="shared" si="6"/>
        <v>1.0269999999999999</v>
      </c>
      <c r="H52" s="885"/>
      <c r="I52" s="887"/>
      <c r="J52" s="887"/>
      <c r="K52" s="887"/>
      <c r="L52" s="887"/>
      <c r="M52" s="887"/>
      <c r="N52" s="886"/>
      <c r="O52" s="888"/>
      <c r="P52" s="885"/>
      <c r="Q52" s="886"/>
      <c r="R52" s="889">
        <f t="shared" si="1"/>
        <v>1.0485669999999998</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row>
    <row r="53" spans="1:247">
      <c r="A53" s="4">
        <v>1781</v>
      </c>
      <c r="B53" s="9" t="s">
        <v>64</v>
      </c>
      <c r="C53" s="10" t="s">
        <v>37</v>
      </c>
      <c r="D53" s="878" t="s">
        <v>2340</v>
      </c>
      <c r="E53" s="885"/>
      <c r="F53" s="880">
        <f t="shared" si="0"/>
        <v>1.0209999999999999</v>
      </c>
      <c r="G53" s="886">
        <f t="shared" si="6"/>
        <v>1.0269999999999999</v>
      </c>
      <c r="H53" s="885"/>
      <c r="I53" s="887"/>
      <c r="J53" s="887"/>
      <c r="K53" s="887"/>
      <c r="L53" s="887"/>
      <c r="M53" s="887"/>
      <c r="N53" s="886"/>
      <c r="O53" s="888"/>
      <c r="P53" s="885"/>
      <c r="Q53" s="886"/>
      <c r="R53" s="889">
        <f t="shared" si="1"/>
        <v>1.0485669999999998</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row>
    <row r="54" spans="1:247">
      <c r="A54" s="4">
        <v>1782</v>
      </c>
      <c r="B54" s="9" t="s">
        <v>65</v>
      </c>
      <c r="C54" s="10" t="s">
        <v>37</v>
      </c>
      <c r="D54" s="878" t="s">
        <v>2340</v>
      </c>
      <c r="E54" s="885"/>
      <c r="F54" s="880">
        <f t="shared" si="0"/>
        <v>1.0209999999999999</v>
      </c>
      <c r="G54" s="886">
        <f t="shared" si="6"/>
        <v>1.0269999999999999</v>
      </c>
      <c r="H54" s="885"/>
      <c r="I54" s="887"/>
      <c r="J54" s="887"/>
      <c r="K54" s="887"/>
      <c r="L54" s="887"/>
      <c r="M54" s="887"/>
      <c r="N54" s="886"/>
      <c r="O54" s="888"/>
      <c r="P54" s="885"/>
      <c r="Q54" s="886"/>
      <c r="R54" s="889">
        <f t="shared" si="1"/>
        <v>1.0485669999999998</v>
      </c>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row>
    <row r="55" spans="1:247">
      <c r="A55" s="4">
        <v>1783</v>
      </c>
      <c r="B55" s="9" t="s">
        <v>66</v>
      </c>
      <c r="C55" s="10" t="s">
        <v>37</v>
      </c>
      <c r="D55" s="878" t="s">
        <v>2340</v>
      </c>
      <c r="E55" s="885"/>
      <c r="F55" s="880">
        <f t="shared" si="0"/>
        <v>1.0209999999999999</v>
      </c>
      <c r="G55" s="886">
        <f t="shared" si="6"/>
        <v>1.0269999999999999</v>
      </c>
      <c r="H55" s="885"/>
      <c r="I55" s="887"/>
      <c r="J55" s="887"/>
      <c r="K55" s="887"/>
      <c r="L55" s="887"/>
      <c r="M55" s="887"/>
      <c r="N55" s="886"/>
      <c r="O55" s="888"/>
      <c r="P55" s="885"/>
      <c r="Q55" s="886"/>
      <c r="R55" s="889">
        <f t="shared" si="1"/>
        <v>1.0485669999999998</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row>
    <row r="56" spans="1:247">
      <c r="A56" s="4">
        <v>1790</v>
      </c>
      <c r="B56" s="9" t="s">
        <v>67</v>
      </c>
      <c r="C56" s="10" t="s">
        <v>10</v>
      </c>
      <c r="D56" s="878" t="s">
        <v>2340</v>
      </c>
      <c r="E56" s="885"/>
      <c r="F56" s="880">
        <f t="shared" si="0"/>
        <v>1.0209999999999999</v>
      </c>
      <c r="G56" s="886">
        <f t="shared" si="6"/>
        <v>1.0269999999999999</v>
      </c>
      <c r="H56" s="885"/>
      <c r="I56" s="887"/>
      <c r="J56" s="887"/>
      <c r="K56" s="887"/>
      <c r="L56" s="887"/>
      <c r="M56" s="887"/>
      <c r="N56" s="886"/>
      <c r="O56" s="888"/>
      <c r="P56" s="885"/>
      <c r="Q56" s="886"/>
      <c r="R56" s="889">
        <f t="shared" si="1"/>
        <v>1.0485669999999998</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row>
    <row r="57" spans="1:247">
      <c r="A57" s="4">
        <v>1791</v>
      </c>
      <c r="B57" s="9" t="s">
        <v>68</v>
      </c>
      <c r="C57" s="10" t="s">
        <v>10</v>
      </c>
      <c r="D57" s="878" t="s">
        <v>2340</v>
      </c>
      <c r="E57" s="885"/>
      <c r="F57" s="880">
        <f t="shared" si="0"/>
        <v>1.0209999999999999</v>
      </c>
      <c r="G57" s="886">
        <f t="shared" si="6"/>
        <v>1.0269999999999999</v>
      </c>
      <c r="H57" s="885"/>
      <c r="I57" s="887"/>
      <c r="J57" s="887"/>
      <c r="K57" s="887"/>
      <c r="L57" s="887"/>
      <c r="M57" s="887"/>
      <c r="N57" s="886"/>
      <c r="O57" s="888"/>
      <c r="P57" s="885"/>
      <c r="Q57" s="886"/>
      <c r="R57" s="889">
        <f t="shared" si="1"/>
        <v>1.0485669999999998</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row>
    <row r="58" spans="1:247">
      <c r="A58" s="4">
        <v>1792</v>
      </c>
      <c r="B58" s="9" t="s">
        <v>69</v>
      </c>
      <c r="C58" s="10" t="s">
        <v>10</v>
      </c>
      <c r="D58" s="878" t="s">
        <v>2340</v>
      </c>
      <c r="E58" s="885"/>
      <c r="F58" s="880">
        <f t="shared" si="0"/>
        <v>1.0209999999999999</v>
      </c>
      <c r="G58" s="886">
        <f t="shared" si="6"/>
        <v>1.0269999999999999</v>
      </c>
      <c r="H58" s="885"/>
      <c r="I58" s="887"/>
      <c r="J58" s="887"/>
      <c r="K58" s="887"/>
      <c r="L58" s="887"/>
      <c r="M58" s="887"/>
      <c r="N58" s="886"/>
      <c r="O58" s="888"/>
      <c r="P58" s="885">
        <f>+$P$3</f>
        <v>1.032</v>
      </c>
      <c r="Q58" s="886"/>
      <c r="R58" s="889">
        <f t="shared" si="1"/>
        <v>1.0821211439999998</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row>
    <row r="59" spans="1:247">
      <c r="A59" s="4">
        <v>1793</v>
      </c>
      <c r="B59" s="9" t="s">
        <v>70</v>
      </c>
      <c r="C59" s="10" t="s">
        <v>10</v>
      </c>
      <c r="D59" s="878" t="s">
        <v>2340</v>
      </c>
      <c r="E59" s="885"/>
      <c r="F59" s="880">
        <f t="shared" si="0"/>
        <v>1.0209999999999999</v>
      </c>
      <c r="G59" s="886">
        <f t="shared" si="6"/>
        <v>1.0269999999999999</v>
      </c>
      <c r="H59" s="885"/>
      <c r="I59" s="887"/>
      <c r="J59" s="887"/>
      <c r="K59" s="887"/>
      <c r="L59" s="887"/>
      <c r="M59" s="887"/>
      <c r="N59" s="886"/>
      <c r="O59" s="888"/>
      <c r="P59" s="885"/>
      <c r="Q59" s="886"/>
      <c r="R59" s="889">
        <f t="shared" si="1"/>
        <v>1.0485669999999998</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row>
    <row r="60" spans="1:247">
      <c r="A60" s="4">
        <v>1794</v>
      </c>
      <c r="B60" s="9" t="s">
        <v>71</v>
      </c>
      <c r="C60" s="10" t="s">
        <v>37</v>
      </c>
      <c r="D60" s="878" t="s">
        <v>2340</v>
      </c>
      <c r="E60" s="885"/>
      <c r="F60" s="880">
        <f t="shared" si="0"/>
        <v>1.0209999999999999</v>
      </c>
      <c r="G60" s="886">
        <f t="shared" si="6"/>
        <v>1.0269999999999999</v>
      </c>
      <c r="H60" s="885"/>
      <c r="I60" s="887"/>
      <c r="J60" s="887"/>
      <c r="K60" s="887"/>
      <c r="L60" s="887"/>
      <c r="M60" s="887"/>
      <c r="N60" s="886"/>
      <c r="O60" s="888"/>
      <c r="P60" s="885"/>
      <c r="Q60" s="886"/>
      <c r="R60" s="889">
        <f t="shared" si="1"/>
        <v>1.0485669999999998</v>
      </c>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row>
    <row r="61" spans="1:247">
      <c r="A61" s="4">
        <v>1795</v>
      </c>
      <c r="B61" s="9" t="s">
        <v>72</v>
      </c>
      <c r="C61" s="10" t="s">
        <v>10</v>
      </c>
      <c r="D61" s="878" t="s">
        <v>2340</v>
      </c>
      <c r="E61" s="885"/>
      <c r="F61" s="880">
        <f t="shared" si="0"/>
        <v>1.0209999999999999</v>
      </c>
      <c r="G61" s="886">
        <f t="shared" si="6"/>
        <v>1.0269999999999999</v>
      </c>
      <c r="H61" s="885"/>
      <c r="I61" s="887"/>
      <c r="J61" s="887"/>
      <c r="K61" s="887"/>
      <c r="L61" s="887"/>
      <c r="M61" s="887"/>
      <c r="N61" s="886"/>
      <c r="O61" s="888"/>
      <c r="P61" s="885">
        <f>+$P$3</f>
        <v>1.032</v>
      </c>
      <c r="Q61" s="886"/>
      <c r="R61" s="889">
        <f t="shared" si="1"/>
        <v>1.0821211439999998</v>
      </c>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row>
    <row r="62" spans="1:247">
      <c r="A62" s="4">
        <v>1796</v>
      </c>
      <c r="B62" s="9" t="s">
        <v>73</v>
      </c>
      <c r="C62" s="10" t="s">
        <v>8</v>
      </c>
      <c r="D62" s="878" t="s">
        <v>2340</v>
      </c>
      <c r="E62" s="885"/>
      <c r="F62" s="880">
        <v>1.0209999999999999</v>
      </c>
      <c r="G62" s="886">
        <v>1.0269999999999999</v>
      </c>
      <c r="H62" s="885"/>
      <c r="I62" s="887"/>
      <c r="J62" s="887"/>
      <c r="K62" s="887"/>
      <c r="L62" s="887"/>
      <c r="M62" s="887"/>
      <c r="N62" s="886"/>
      <c r="O62" s="888"/>
      <c r="P62" s="885">
        <f>+$P$3</f>
        <v>1.032</v>
      </c>
      <c r="Q62" s="886"/>
      <c r="R62" s="889">
        <f t="shared" si="1"/>
        <v>1.0821211439999998</v>
      </c>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row>
    <row r="63" spans="1:247">
      <c r="A63" s="4">
        <v>1797</v>
      </c>
      <c r="B63" s="9" t="s">
        <v>74</v>
      </c>
      <c r="C63" s="10" t="s">
        <v>37</v>
      </c>
      <c r="D63" s="878" t="s">
        <v>2340</v>
      </c>
      <c r="E63" s="885"/>
      <c r="F63" s="880">
        <v>1.0209999999999999</v>
      </c>
      <c r="G63" s="886">
        <v>1.0269999999999999</v>
      </c>
      <c r="H63" s="885"/>
      <c r="I63" s="887"/>
      <c r="J63" s="887"/>
      <c r="K63" s="887"/>
      <c r="L63" s="887"/>
      <c r="M63" s="887"/>
      <c r="N63" s="886"/>
      <c r="O63" s="888"/>
      <c r="P63" s="885"/>
      <c r="Q63" s="886"/>
      <c r="R63" s="889">
        <f t="shared" si="1"/>
        <v>1.0485669999999998</v>
      </c>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row>
    <row r="64" spans="1:247">
      <c r="A64" s="4">
        <v>1798</v>
      </c>
      <c r="B64" s="9" t="s">
        <v>75</v>
      </c>
      <c r="C64" s="10" t="s">
        <v>10</v>
      </c>
      <c r="D64" s="878" t="s">
        <v>2340</v>
      </c>
      <c r="E64" s="885"/>
      <c r="F64" s="880">
        <v>1.0209999999999999</v>
      </c>
      <c r="G64" s="886">
        <v>1.0269999999999999</v>
      </c>
      <c r="H64" s="885"/>
      <c r="I64" s="887"/>
      <c r="J64" s="887"/>
      <c r="K64" s="887"/>
      <c r="L64" s="887"/>
      <c r="M64" s="887"/>
      <c r="N64" s="886"/>
      <c r="O64" s="888"/>
      <c r="P64" s="885"/>
      <c r="Q64" s="886"/>
      <c r="R64" s="889">
        <f t="shared" si="1"/>
        <v>1.0485669999999998</v>
      </c>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row>
    <row r="65" spans="1:247">
      <c r="A65" s="4">
        <v>1799</v>
      </c>
      <c r="B65" s="9" t="s">
        <v>76</v>
      </c>
      <c r="C65" s="10" t="s">
        <v>10</v>
      </c>
      <c r="D65" s="878" t="s">
        <v>2340</v>
      </c>
      <c r="E65" s="885"/>
      <c r="F65" s="880">
        <v>1.0209999999999999</v>
      </c>
      <c r="G65" s="886">
        <v>1.0269999999999999</v>
      </c>
      <c r="H65" s="885"/>
      <c r="I65" s="887"/>
      <c r="J65" s="887"/>
      <c r="K65" s="887"/>
      <c r="L65" s="887"/>
      <c r="M65" s="887"/>
      <c r="N65" s="886"/>
      <c r="O65" s="888"/>
      <c r="P65" s="885"/>
      <c r="Q65" s="886"/>
      <c r="R65" s="889">
        <f t="shared" si="1"/>
        <v>1.0485669999999998</v>
      </c>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row>
    <row r="66" spans="1:247">
      <c r="A66" s="4">
        <v>2112</v>
      </c>
      <c r="B66" s="9" t="s">
        <v>77</v>
      </c>
      <c r="C66" s="10" t="s">
        <v>8</v>
      </c>
      <c r="D66" s="878" t="s">
        <v>2342</v>
      </c>
      <c r="E66" s="885"/>
      <c r="F66" s="880">
        <f t="shared" si="0"/>
        <v>1.0209999999999999</v>
      </c>
      <c r="G66" s="886">
        <f t="shared" ref="G66:G89" si="7">+$G$3</f>
        <v>1.0269999999999999</v>
      </c>
      <c r="H66" s="885">
        <f>+$H$3</f>
        <v>1.0029999999999999</v>
      </c>
      <c r="I66" s="887">
        <f>+$I$3</f>
        <v>1.0289999999999999</v>
      </c>
      <c r="J66" s="887">
        <f>+$J$3</f>
        <v>1.0049999999999999</v>
      </c>
      <c r="K66" s="887"/>
      <c r="L66" s="887"/>
      <c r="M66" s="887">
        <f>+$M$3</f>
        <v>1.0029999999999999</v>
      </c>
      <c r="N66" s="886">
        <f t="shared" ref="N66:N85" si="8">+$N$3</f>
        <v>1.0029999999999999</v>
      </c>
      <c r="O66" s="888">
        <f>+$O$3</f>
        <v>1.0209999999999999</v>
      </c>
      <c r="P66" s="885">
        <f t="shared" ref="P66:P80" si="9">+$P$3</f>
        <v>1.032</v>
      </c>
      <c r="Q66" s="886">
        <f t="shared" ref="Q66:Q80" si="10">+$Q$3</f>
        <v>1.0349999999999999</v>
      </c>
      <c r="R66" s="889">
        <f t="shared" si="1"/>
        <v>1.1932356231980656</v>
      </c>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row>
    <row r="67" spans="1:247">
      <c r="A67" s="4">
        <v>2121</v>
      </c>
      <c r="B67" s="9" t="s">
        <v>78</v>
      </c>
      <c r="C67" s="10" t="s">
        <v>8</v>
      </c>
      <c r="D67" s="878" t="s">
        <v>2342</v>
      </c>
      <c r="E67" s="885"/>
      <c r="F67" s="880">
        <f t="shared" si="0"/>
        <v>1.0209999999999999</v>
      </c>
      <c r="G67" s="886">
        <f t="shared" si="7"/>
        <v>1.0269999999999999</v>
      </c>
      <c r="H67" s="885">
        <f>+$H$3</f>
        <v>1.0029999999999999</v>
      </c>
      <c r="I67" s="887">
        <f>+$I$3</f>
        <v>1.0289999999999999</v>
      </c>
      <c r="J67" s="887">
        <f>+$J$3</f>
        <v>1.0049999999999999</v>
      </c>
      <c r="K67" s="887"/>
      <c r="L67" s="887"/>
      <c r="M67" s="887">
        <f>+$M$3</f>
        <v>1.0029999999999999</v>
      </c>
      <c r="N67" s="886">
        <f t="shared" si="8"/>
        <v>1.0029999999999999</v>
      </c>
      <c r="O67" s="888">
        <f>+$O$3</f>
        <v>1.0209999999999999</v>
      </c>
      <c r="P67" s="885">
        <f t="shared" si="9"/>
        <v>1.032</v>
      </c>
      <c r="Q67" s="886">
        <f t="shared" si="10"/>
        <v>1.0349999999999999</v>
      </c>
      <c r="R67" s="889">
        <f t="shared" si="1"/>
        <v>1.1932356231980656</v>
      </c>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row>
    <row r="68" spans="1:247">
      <c r="A68" s="4">
        <v>2123</v>
      </c>
      <c r="B68" s="9" t="s">
        <v>79</v>
      </c>
      <c r="C68" s="10" t="s">
        <v>8</v>
      </c>
      <c r="D68" s="878" t="s">
        <v>2342</v>
      </c>
      <c r="E68" s="885"/>
      <c r="F68" s="880">
        <f t="shared" si="0"/>
        <v>1.0209999999999999</v>
      </c>
      <c r="G68" s="886">
        <f t="shared" si="7"/>
        <v>1.0269999999999999</v>
      </c>
      <c r="H68" s="885">
        <f>+$H$3</f>
        <v>1.0029999999999999</v>
      </c>
      <c r="I68" s="887">
        <f>+$I$3</f>
        <v>1.0289999999999999</v>
      </c>
      <c r="J68" s="887">
        <f>+$J$3</f>
        <v>1.0049999999999999</v>
      </c>
      <c r="K68" s="887"/>
      <c r="L68" s="887"/>
      <c r="M68" s="887">
        <f>+$M$3</f>
        <v>1.0029999999999999</v>
      </c>
      <c r="N68" s="886">
        <f t="shared" si="8"/>
        <v>1.0029999999999999</v>
      </c>
      <c r="O68" s="888">
        <f>+$O$3</f>
        <v>1.0209999999999999</v>
      </c>
      <c r="P68" s="885">
        <f t="shared" si="9"/>
        <v>1.032</v>
      </c>
      <c r="Q68" s="886">
        <f t="shared" si="10"/>
        <v>1.0349999999999999</v>
      </c>
      <c r="R68" s="889">
        <f>PRODUCT(E68:Q68)</f>
        <v>1.1932356231980656</v>
      </c>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row>
    <row r="69" spans="1:247">
      <c r="A69" s="4">
        <v>2124</v>
      </c>
      <c r="B69" s="9" t="s">
        <v>80</v>
      </c>
      <c r="C69" s="10" t="s">
        <v>10</v>
      </c>
      <c r="D69" s="878" t="s">
        <v>2340</v>
      </c>
      <c r="E69" s="885"/>
      <c r="F69" s="880">
        <f t="shared" si="0"/>
        <v>1.0209999999999999</v>
      </c>
      <c r="G69" s="886">
        <f t="shared" si="7"/>
        <v>1.0269999999999999</v>
      </c>
      <c r="H69" s="885"/>
      <c r="I69" s="887"/>
      <c r="J69" s="887"/>
      <c r="K69" s="887"/>
      <c r="L69" s="887"/>
      <c r="M69" s="887"/>
      <c r="N69" s="886">
        <f t="shared" si="8"/>
        <v>1.0029999999999999</v>
      </c>
      <c r="O69" s="888"/>
      <c r="P69" s="885">
        <f t="shared" si="9"/>
        <v>1.032</v>
      </c>
      <c r="Q69" s="886">
        <f t="shared" si="10"/>
        <v>1.0349999999999999</v>
      </c>
      <c r="R69" s="889">
        <f t="shared" si="1"/>
        <v>1.1233553701921195</v>
      </c>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row>
    <row r="70" spans="1:247">
      <c r="A70" s="4">
        <v>2125</v>
      </c>
      <c r="B70" s="9" t="s">
        <v>81</v>
      </c>
      <c r="C70" s="10" t="s">
        <v>8</v>
      </c>
      <c r="D70" s="878" t="s">
        <v>2342</v>
      </c>
      <c r="E70" s="885"/>
      <c r="F70" s="880">
        <f t="shared" si="0"/>
        <v>1.0209999999999999</v>
      </c>
      <c r="G70" s="886">
        <f t="shared" si="7"/>
        <v>1.0269999999999999</v>
      </c>
      <c r="H70" s="885">
        <f>+$H$3</f>
        <v>1.0029999999999999</v>
      </c>
      <c r="I70" s="887">
        <f>+$I$3</f>
        <v>1.0289999999999999</v>
      </c>
      <c r="J70" s="887">
        <f t="shared" ref="J70:J80" si="11">+$J$3</f>
        <v>1.0049999999999999</v>
      </c>
      <c r="K70" s="887"/>
      <c r="L70" s="887"/>
      <c r="M70" s="887">
        <f>+$M$3</f>
        <v>1.0029999999999999</v>
      </c>
      <c r="N70" s="886">
        <f t="shared" si="8"/>
        <v>1.0029999999999999</v>
      </c>
      <c r="O70" s="888">
        <f>+$O$3</f>
        <v>1.0209999999999999</v>
      </c>
      <c r="P70" s="885">
        <f t="shared" si="9"/>
        <v>1.032</v>
      </c>
      <c r="Q70" s="886">
        <f t="shared" si="10"/>
        <v>1.0349999999999999</v>
      </c>
      <c r="R70" s="889">
        <f t="shared" si="1"/>
        <v>1.1932356231980656</v>
      </c>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row>
    <row r="71" spans="1:247">
      <c r="A71" s="4">
        <v>2126</v>
      </c>
      <c r="B71" s="9" t="s">
        <v>2343</v>
      </c>
      <c r="C71" s="10" t="s">
        <v>8</v>
      </c>
      <c r="D71" s="878" t="s">
        <v>2342</v>
      </c>
      <c r="E71" s="885"/>
      <c r="F71" s="880">
        <f t="shared" si="0"/>
        <v>1.0209999999999999</v>
      </c>
      <c r="G71" s="886">
        <f t="shared" si="7"/>
        <v>1.0269999999999999</v>
      </c>
      <c r="H71" s="885">
        <f>+$H$3</f>
        <v>1.0029999999999999</v>
      </c>
      <c r="I71" s="887">
        <f>+$I$3</f>
        <v>1.0289999999999999</v>
      </c>
      <c r="J71" s="887">
        <f t="shared" si="11"/>
        <v>1.0049999999999999</v>
      </c>
      <c r="K71" s="887"/>
      <c r="L71" s="887"/>
      <c r="M71" s="887">
        <f>+$M$3</f>
        <v>1.0029999999999999</v>
      </c>
      <c r="N71" s="886">
        <f t="shared" si="8"/>
        <v>1.0029999999999999</v>
      </c>
      <c r="O71" s="888">
        <f>+$O$3</f>
        <v>1.0209999999999999</v>
      </c>
      <c r="P71" s="885">
        <f t="shared" si="9"/>
        <v>1.032</v>
      </c>
      <c r="Q71" s="886">
        <f t="shared" si="10"/>
        <v>1.0349999999999999</v>
      </c>
      <c r="R71" s="889">
        <f>PRODUCT(E71:Q71)</f>
        <v>1.1932356231980656</v>
      </c>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row>
    <row r="72" spans="1:247">
      <c r="A72" s="4">
        <v>2131</v>
      </c>
      <c r="B72" s="9" t="s">
        <v>2344</v>
      </c>
      <c r="C72" s="10" t="s">
        <v>8</v>
      </c>
      <c r="D72" s="878" t="s">
        <v>2340</v>
      </c>
      <c r="E72" s="885"/>
      <c r="F72" s="880">
        <f t="shared" si="0"/>
        <v>1.0209999999999999</v>
      </c>
      <c r="G72" s="886">
        <f t="shared" si="7"/>
        <v>1.0269999999999999</v>
      </c>
      <c r="H72" s="885">
        <f>+$H$3</f>
        <v>1.0029999999999999</v>
      </c>
      <c r="I72" s="887"/>
      <c r="J72" s="887"/>
      <c r="K72" s="887"/>
      <c r="L72" s="887"/>
      <c r="M72" s="887"/>
      <c r="N72" s="886">
        <f t="shared" si="8"/>
        <v>1.0029999999999999</v>
      </c>
      <c r="O72" s="888">
        <f>+$O$3</f>
        <v>1.0209999999999999</v>
      </c>
      <c r="P72" s="885">
        <f t="shared" si="9"/>
        <v>1.032</v>
      </c>
      <c r="Q72" s="886">
        <f t="shared" si="10"/>
        <v>1.0349999999999999</v>
      </c>
      <c r="R72" s="889">
        <f>PRODUCT(E72:Q72)</f>
        <v>1.1503866704650523</v>
      </c>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row>
    <row r="73" spans="1:247">
      <c r="A73" s="4">
        <v>2134</v>
      </c>
      <c r="B73" s="9" t="s">
        <v>83</v>
      </c>
      <c r="C73" s="10" t="s">
        <v>8</v>
      </c>
      <c r="D73" s="878" t="s">
        <v>2342</v>
      </c>
      <c r="E73" s="885"/>
      <c r="F73" s="880">
        <f t="shared" si="0"/>
        <v>1.0209999999999999</v>
      </c>
      <c r="G73" s="886">
        <f t="shared" si="7"/>
        <v>1.0269999999999999</v>
      </c>
      <c r="H73" s="885"/>
      <c r="I73" s="887"/>
      <c r="J73" s="887">
        <f t="shared" si="11"/>
        <v>1.0049999999999999</v>
      </c>
      <c r="K73" s="887"/>
      <c r="L73" s="887"/>
      <c r="M73" s="887"/>
      <c r="N73" s="886">
        <f t="shared" si="8"/>
        <v>1.0029999999999999</v>
      </c>
      <c r="O73" s="888"/>
      <c r="P73" s="885">
        <f t="shared" si="9"/>
        <v>1.032</v>
      </c>
      <c r="Q73" s="886">
        <f t="shared" si="10"/>
        <v>1.0349999999999999</v>
      </c>
      <c r="R73" s="889">
        <f t="shared" si="1"/>
        <v>1.12897214704308</v>
      </c>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row>
    <row r="74" spans="1:247">
      <c r="A74" s="4">
        <v>2152</v>
      </c>
      <c r="B74" s="9" t="s">
        <v>84</v>
      </c>
      <c r="C74" s="10" t="s">
        <v>8</v>
      </c>
      <c r="D74" s="878" t="s">
        <v>2342</v>
      </c>
      <c r="E74" s="885"/>
      <c r="F74" s="880">
        <f t="shared" si="0"/>
        <v>1.0209999999999999</v>
      </c>
      <c r="G74" s="886">
        <f t="shared" si="7"/>
        <v>1.0269999999999999</v>
      </c>
      <c r="H74" s="885">
        <f>+$H$3</f>
        <v>1.0029999999999999</v>
      </c>
      <c r="I74" s="887">
        <f>+$I$3</f>
        <v>1.0289999999999999</v>
      </c>
      <c r="J74" s="887">
        <f t="shared" si="11"/>
        <v>1.0049999999999999</v>
      </c>
      <c r="K74" s="887"/>
      <c r="L74" s="887"/>
      <c r="M74" s="887">
        <f t="shared" ref="M74:M80" si="12">+$M$3</f>
        <v>1.0029999999999999</v>
      </c>
      <c r="N74" s="886">
        <f t="shared" si="8"/>
        <v>1.0029999999999999</v>
      </c>
      <c r="O74" s="888">
        <f t="shared" ref="O74:O80" si="13">+$O$3</f>
        <v>1.0209999999999999</v>
      </c>
      <c r="P74" s="885">
        <v>1.032</v>
      </c>
      <c r="Q74" s="886">
        <f t="shared" si="10"/>
        <v>1.0349999999999999</v>
      </c>
      <c r="R74" s="889">
        <f t="shared" si="1"/>
        <v>1.1932356231980656</v>
      </c>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row>
    <row r="75" spans="1:247">
      <c r="A75" s="4">
        <v>2154</v>
      </c>
      <c r="B75" s="9" t="s">
        <v>85</v>
      </c>
      <c r="C75" s="10" t="s">
        <v>8</v>
      </c>
      <c r="D75" s="878" t="s">
        <v>2340</v>
      </c>
      <c r="E75" s="885"/>
      <c r="F75" s="880">
        <f t="shared" si="0"/>
        <v>1.0209999999999999</v>
      </c>
      <c r="G75" s="886">
        <f t="shared" si="7"/>
        <v>1.0269999999999999</v>
      </c>
      <c r="H75" s="885"/>
      <c r="I75" s="887"/>
      <c r="J75" s="887">
        <f t="shared" si="11"/>
        <v>1.0049999999999999</v>
      </c>
      <c r="K75" s="887"/>
      <c r="L75" s="887"/>
      <c r="M75" s="887">
        <f t="shared" si="12"/>
        <v>1.0029999999999999</v>
      </c>
      <c r="N75" s="886">
        <f t="shared" si="8"/>
        <v>1.0029999999999999</v>
      </c>
      <c r="O75" s="888">
        <f t="shared" si="13"/>
        <v>1.0209999999999999</v>
      </c>
      <c r="P75" s="890">
        <v>1.032</v>
      </c>
      <c r="Q75" s="886">
        <f t="shared" si="10"/>
        <v>1.0349999999999999</v>
      </c>
      <c r="R75" s="889">
        <f t="shared" si="1"/>
        <v>1.1561386038173773</v>
      </c>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row>
    <row r="76" spans="1:247">
      <c r="A76" s="4">
        <v>2161</v>
      </c>
      <c r="B76" s="9" t="s">
        <v>86</v>
      </c>
      <c r="C76" s="10" t="s">
        <v>8</v>
      </c>
      <c r="D76" s="878" t="s">
        <v>2340</v>
      </c>
      <c r="E76" s="885"/>
      <c r="F76" s="880">
        <f t="shared" si="0"/>
        <v>1.0209999999999999</v>
      </c>
      <c r="G76" s="886">
        <f t="shared" si="7"/>
        <v>1.0269999999999999</v>
      </c>
      <c r="H76" s="885"/>
      <c r="I76" s="887"/>
      <c r="J76" s="887">
        <f t="shared" si="11"/>
        <v>1.0049999999999999</v>
      </c>
      <c r="K76" s="887"/>
      <c r="L76" s="887"/>
      <c r="M76" s="887">
        <f t="shared" si="12"/>
        <v>1.0029999999999999</v>
      </c>
      <c r="N76" s="886">
        <f t="shared" si="8"/>
        <v>1.0029999999999999</v>
      </c>
      <c r="O76" s="888">
        <f t="shared" si="13"/>
        <v>1.0209999999999999</v>
      </c>
      <c r="P76" s="885">
        <f t="shared" si="9"/>
        <v>1.032</v>
      </c>
      <c r="Q76" s="886">
        <f t="shared" si="10"/>
        <v>1.0349999999999999</v>
      </c>
      <c r="R76" s="889">
        <f>PRODUCT(E76:Q76)</f>
        <v>1.1561386038173773</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row>
    <row r="77" spans="1:247">
      <c r="A77" s="4">
        <v>2162</v>
      </c>
      <c r="B77" s="9" t="s">
        <v>87</v>
      </c>
      <c r="C77" s="10" t="s">
        <v>8</v>
      </c>
      <c r="D77" s="878" t="s">
        <v>2340</v>
      </c>
      <c r="E77" s="885"/>
      <c r="F77" s="880">
        <f t="shared" si="0"/>
        <v>1.0209999999999999</v>
      </c>
      <c r="G77" s="886">
        <f t="shared" si="7"/>
        <v>1.0269999999999999</v>
      </c>
      <c r="H77" s="885"/>
      <c r="I77" s="887"/>
      <c r="J77" s="887">
        <f t="shared" si="11"/>
        <v>1.0049999999999999</v>
      </c>
      <c r="K77" s="887"/>
      <c r="L77" s="887"/>
      <c r="M77" s="887">
        <f t="shared" si="12"/>
        <v>1.0029999999999999</v>
      </c>
      <c r="N77" s="886">
        <f t="shared" si="8"/>
        <v>1.0029999999999999</v>
      </c>
      <c r="O77" s="888">
        <f t="shared" si="13"/>
        <v>1.0209999999999999</v>
      </c>
      <c r="P77" s="885">
        <f t="shared" si="9"/>
        <v>1.032</v>
      </c>
      <c r="Q77" s="886">
        <f t="shared" si="10"/>
        <v>1.0349999999999999</v>
      </c>
      <c r="R77" s="889">
        <f>PRODUCT(E77:Q77)</f>
        <v>1.1561386038173773</v>
      </c>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row>
    <row r="78" spans="1:247">
      <c r="A78" s="4">
        <v>2163</v>
      </c>
      <c r="B78" s="9" t="s">
        <v>88</v>
      </c>
      <c r="C78" s="10" t="s">
        <v>8</v>
      </c>
      <c r="D78" s="878" t="s">
        <v>2340</v>
      </c>
      <c r="E78" s="885"/>
      <c r="F78" s="880">
        <f t="shared" si="0"/>
        <v>1.0209999999999999</v>
      </c>
      <c r="G78" s="886">
        <f t="shared" si="7"/>
        <v>1.0269999999999999</v>
      </c>
      <c r="H78" s="885"/>
      <c r="I78" s="887"/>
      <c r="J78" s="887">
        <f t="shared" si="11"/>
        <v>1.0049999999999999</v>
      </c>
      <c r="K78" s="887"/>
      <c r="L78" s="887"/>
      <c r="M78" s="887">
        <f t="shared" si="12"/>
        <v>1.0029999999999999</v>
      </c>
      <c r="N78" s="886">
        <f t="shared" si="8"/>
        <v>1.0029999999999999</v>
      </c>
      <c r="O78" s="888">
        <f t="shared" si="13"/>
        <v>1.0209999999999999</v>
      </c>
      <c r="P78" s="885">
        <f t="shared" si="9"/>
        <v>1.032</v>
      </c>
      <c r="Q78" s="886">
        <f t="shared" si="10"/>
        <v>1.0349999999999999</v>
      </c>
      <c r="R78" s="889">
        <f>PRODUCT(E78:Q78)</f>
        <v>1.1561386038173773</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row>
    <row r="79" spans="1:247">
      <c r="A79" s="4">
        <v>2173</v>
      </c>
      <c r="B79" s="9" t="s">
        <v>89</v>
      </c>
      <c r="C79" s="10" t="s">
        <v>10</v>
      </c>
      <c r="D79" s="878" t="s">
        <v>2340</v>
      </c>
      <c r="E79" s="885"/>
      <c r="F79" s="880">
        <f t="shared" si="0"/>
        <v>1.0209999999999999</v>
      </c>
      <c r="G79" s="886">
        <f t="shared" si="7"/>
        <v>1.0269999999999999</v>
      </c>
      <c r="H79" s="885"/>
      <c r="I79" s="887"/>
      <c r="J79" s="887"/>
      <c r="K79" s="887"/>
      <c r="L79" s="887"/>
      <c r="M79" s="887"/>
      <c r="N79" s="886"/>
      <c r="O79" s="888"/>
      <c r="P79" s="885"/>
      <c r="Q79" s="886"/>
      <c r="R79" s="889">
        <f>PRODUCT(E79:Q79)</f>
        <v>1.0485669999999998</v>
      </c>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row>
    <row r="80" spans="1:247">
      <c r="A80" s="4">
        <v>2191</v>
      </c>
      <c r="B80" s="9" t="s">
        <v>90</v>
      </c>
      <c r="C80" s="10" t="s">
        <v>8</v>
      </c>
      <c r="D80" s="878" t="s">
        <v>2342</v>
      </c>
      <c r="E80" s="885">
        <f>+$E$3</f>
        <v>1.0740000000000001</v>
      </c>
      <c r="F80" s="880">
        <f t="shared" si="0"/>
        <v>1.0209999999999999</v>
      </c>
      <c r="G80" s="886">
        <f t="shared" si="7"/>
        <v>1.0269999999999999</v>
      </c>
      <c r="H80" s="885"/>
      <c r="I80" s="887"/>
      <c r="J80" s="887">
        <f t="shared" si="11"/>
        <v>1.0049999999999999</v>
      </c>
      <c r="K80" s="887"/>
      <c r="L80" s="887"/>
      <c r="M80" s="887">
        <f t="shared" si="12"/>
        <v>1.0029999999999999</v>
      </c>
      <c r="N80" s="886">
        <f t="shared" si="8"/>
        <v>1.0029999999999999</v>
      </c>
      <c r="O80" s="888">
        <f t="shared" si="13"/>
        <v>1.0209999999999999</v>
      </c>
      <c r="P80" s="885">
        <f t="shared" si="9"/>
        <v>1.032</v>
      </c>
      <c r="Q80" s="886">
        <f t="shared" si="10"/>
        <v>1.0349999999999999</v>
      </c>
      <c r="R80" s="889">
        <f t="shared" si="1"/>
        <v>1.2416928604998634</v>
      </c>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row>
    <row r="81" spans="1:247">
      <c r="A81" s="4">
        <v>2192</v>
      </c>
      <c r="B81" s="9" t="s">
        <v>91</v>
      </c>
      <c r="C81" s="10" t="s">
        <v>10</v>
      </c>
      <c r="D81" s="878" t="s">
        <v>2340</v>
      </c>
      <c r="E81" s="885"/>
      <c r="F81" s="880">
        <f t="shared" si="0"/>
        <v>1.0209999999999999</v>
      </c>
      <c r="G81" s="886">
        <f t="shared" si="7"/>
        <v>1.0269999999999999</v>
      </c>
      <c r="H81" s="885"/>
      <c r="I81" s="887"/>
      <c r="J81" s="887"/>
      <c r="K81" s="887"/>
      <c r="L81" s="887"/>
      <c r="M81" s="887"/>
      <c r="N81" s="886">
        <f t="shared" si="8"/>
        <v>1.0029999999999999</v>
      </c>
      <c r="O81" s="888"/>
      <c r="P81" s="885"/>
      <c r="Q81" s="886"/>
      <c r="R81" s="889">
        <f t="shared" si="1"/>
        <v>1.0517127009999996</v>
      </c>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row>
    <row r="82" spans="1:247">
      <c r="A82" s="4">
        <v>2211</v>
      </c>
      <c r="B82" s="9" t="s">
        <v>92</v>
      </c>
      <c r="C82" s="10" t="s">
        <v>8</v>
      </c>
      <c r="D82" s="878" t="s">
        <v>2342</v>
      </c>
      <c r="E82" s="885"/>
      <c r="F82" s="880">
        <f t="shared" si="0"/>
        <v>1.0209999999999999</v>
      </c>
      <c r="G82" s="886">
        <f t="shared" si="7"/>
        <v>1.0269999999999999</v>
      </c>
      <c r="H82" s="885">
        <f>+$H$3</f>
        <v>1.0029999999999999</v>
      </c>
      <c r="I82" s="887">
        <f>+$I$3</f>
        <v>1.0289999999999999</v>
      </c>
      <c r="J82" s="887">
        <f>+$J$3</f>
        <v>1.0049999999999999</v>
      </c>
      <c r="K82" s="887"/>
      <c r="L82" s="887"/>
      <c r="M82" s="887">
        <f>+$M$3</f>
        <v>1.0029999999999999</v>
      </c>
      <c r="N82" s="886">
        <f t="shared" si="8"/>
        <v>1.0029999999999999</v>
      </c>
      <c r="O82" s="888">
        <f>+$O$3</f>
        <v>1.0209999999999999</v>
      </c>
      <c r="P82" s="885">
        <f t="shared" ref="P82:P105" si="14">+$P$3</f>
        <v>1.032</v>
      </c>
      <c r="Q82" s="886">
        <f t="shared" ref="Q82:Q105" si="15">+$Q$3</f>
        <v>1.0349999999999999</v>
      </c>
      <c r="R82" s="889">
        <f t="shared" si="1"/>
        <v>1.1932356231980656</v>
      </c>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row>
    <row r="83" spans="1:247">
      <c r="A83" s="4">
        <v>2221</v>
      </c>
      <c r="B83" s="9" t="s">
        <v>93</v>
      </c>
      <c r="C83" s="10" t="s">
        <v>8</v>
      </c>
      <c r="D83" s="878" t="s">
        <v>2342</v>
      </c>
      <c r="E83" s="885"/>
      <c r="F83" s="880">
        <f t="shared" si="0"/>
        <v>1.0209999999999999</v>
      </c>
      <c r="G83" s="886">
        <f t="shared" si="7"/>
        <v>1.0269999999999999</v>
      </c>
      <c r="H83" s="885">
        <f>+$H$3</f>
        <v>1.0029999999999999</v>
      </c>
      <c r="I83" s="887">
        <f>+$I$3</f>
        <v>1.0289999999999999</v>
      </c>
      <c r="J83" s="887">
        <f>+$J$3</f>
        <v>1.0049999999999999</v>
      </c>
      <c r="K83" s="887"/>
      <c r="L83" s="887"/>
      <c r="M83" s="887">
        <f>+$M$3</f>
        <v>1.0029999999999999</v>
      </c>
      <c r="N83" s="886">
        <f t="shared" si="8"/>
        <v>1.0029999999999999</v>
      </c>
      <c r="O83" s="888">
        <f>+$O$3</f>
        <v>1.0209999999999999</v>
      </c>
      <c r="P83" s="885">
        <f t="shared" si="14"/>
        <v>1.032</v>
      </c>
      <c r="Q83" s="886">
        <f t="shared" si="15"/>
        <v>1.0349999999999999</v>
      </c>
      <c r="R83" s="889">
        <f t="shared" si="1"/>
        <v>1.1932356231980656</v>
      </c>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row>
    <row r="84" spans="1:247">
      <c r="A84" s="4">
        <v>2231</v>
      </c>
      <c r="B84" s="9" t="s">
        <v>94</v>
      </c>
      <c r="C84" s="10" t="s">
        <v>8</v>
      </c>
      <c r="D84" s="878" t="s">
        <v>2342</v>
      </c>
      <c r="E84" s="885"/>
      <c r="F84" s="880">
        <f t="shared" si="0"/>
        <v>1.0209999999999999</v>
      </c>
      <c r="G84" s="886">
        <f t="shared" si="7"/>
        <v>1.0269999999999999</v>
      </c>
      <c r="H84" s="885">
        <f>+$H$3</f>
        <v>1.0029999999999999</v>
      </c>
      <c r="I84" s="887">
        <f>+$I$3</f>
        <v>1.0289999999999999</v>
      </c>
      <c r="J84" s="887">
        <f>+$J$3</f>
        <v>1.0049999999999999</v>
      </c>
      <c r="K84" s="887"/>
      <c r="L84" s="887"/>
      <c r="M84" s="887">
        <f>+$M$3</f>
        <v>1.0029999999999999</v>
      </c>
      <c r="N84" s="886">
        <f t="shared" si="8"/>
        <v>1.0029999999999999</v>
      </c>
      <c r="O84" s="888">
        <f>+$O$3</f>
        <v>1.0209999999999999</v>
      </c>
      <c r="P84" s="885">
        <f t="shared" si="14"/>
        <v>1.032</v>
      </c>
      <c r="Q84" s="886">
        <f t="shared" si="15"/>
        <v>1.0349999999999999</v>
      </c>
      <c r="R84" s="889">
        <f t="shared" si="1"/>
        <v>1.1932356231980656</v>
      </c>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row>
    <row r="85" spans="1:247">
      <c r="A85" s="4">
        <v>2241</v>
      </c>
      <c r="B85" s="9" t="s">
        <v>95</v>
      </c>
      <c r="C85" s="10" t="s">
        <v>8</v>
      </c>
      <c r="D85" s="878" t="s">
        <v>2342</v>
      </c>
      <c r="E85" s="885"/>
      <c r="F85" s="880">
        <f t="shared" si="0"/>
        <v>1.0209999999999999</v>
      </c>
      <c r="G85" s="886">
        <f t="shared" si="7"/>
        <v>1.0269999999999999</v>
      </c>
      <c r="H85" s="885">
        <f>+$H$3</f>
        <v>1.0029999999999999</v>
      </c>
      <c r="I85" s="887">
        <f>+$I$3</f>
        <v>1.0289999999999999</v>
      </c>
      <c r="J85" s="887">
        <f>+$J$3</f>
        <v>1.0049999999999999</v>
      </c>
      <c r="K85" s="887"/>
      <c r="L85" s="887"/>
      <c r="M85" s="887">
        <f>+$M$3</f>
        <v>1.0029999999999999</v>
      </c>
      <c r="N85" s="886">
        <f t="shared" si="8"/>
        <v>1.0029999999999999</v>
      </c>
      <c r="O85" s="888">
        <f>+$O$3</f>
        <v>1.0209999999999999</v>
      </c>
      <c r="P85" s="885">
        <f t="shared" si="14"/>
        <v>1.032</v>
      </c>
      <c r="Q85" s="886">
        <f t="shared" si="15"/>
        <v>1.0349999999999999</v>
      </c>
      <c r="R85" s="889">
        <f t="shared" si="1"/>
        <v>1.1932356231980656</v>
      </c>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row>
    <row r="86" spans="1:247">
      <c r="A86" s="4">
        <v>2242</v>
      </c>
      <c r="B86" s="9" t="s">
        <v>96</v>
      </c>
      <c r="C86" s="10" t="s">
        <v>8</v>
      </c>
      <c r="D86" s="878" t="s">
        <v>2340</v>
      </c>
      <c r="E86" s="885"/>
      <c r="F86" s="880">
        <f t="shared" si="0"/>
        <v>1.0209999999999999</v>
      </c>
      <c r="G86" s="886">
        <f t="shared" si="7"/>
        <v>1.0269999999999999</v>
      </c>
      <c r="H86" s="885"/>
      <c r="I86" s="887"/>
      <c r="J86" s="887"/>
      <c r="K86" s="887"/>
      <c r="L86" s="887"/>
      <c r="M86" s="887"/>
      <c r="N86" s="886"/>
      <c r="O86" s="888"/>
      <c r="P86" s="885">
        <f t="shared" si="14"/>
        <v>1.032</v>
      </c>
      <c r="Q86" s="886">
        <f t="shared" si="15"/>
        <v>1.0349999999999999</v>
      </c>
      <c r="R86" s="889">
        <f t="shared" si="1"/>
        <v>1.1199953840399997</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row>
    <row r="87" spans="1:247">
      <c r="A87" s="4">
        <v>2251</v>
      </c>
      <c r="B87" s="9" t="s">
        <v>97</v>
      </c>
      <c r="C87" s="10" t="s">
        <v>8</v>
      </c>
      <c r="D87" s="878" t="s">
        <v>2342</v>
      </c>
      <c r="E87" s="885"/>
      <c r="F87" s="880">
        <f t="shared" si="0"/>
        <v>1.0209999999999999</v>
      </c>
      <c r="G87" s="886">
        <f t="shared" si="7"/>
        <v>1.0269999999999999</v>
      </c>
      <c r="H87" s="885">
        <f>+$H$3</f>
        <v>1.0029999999999999</v>
      </c>
      <c r="I87" s="887">
        <f>+$I$3</f>
        <v>1.0289999999999999</v>
      </c>
      <c r="J87" s="887">
        <f>+$J$3</f>
        <v>1.0049999999999999</v>
      </c>
      <c r="K87" s="887"/>
      <c r="L87" s="887"/>
      <c r="M87" s="887">
        <f>+$M$3</f>
        <v>1.0029999999999999</v>
      </c>
      <c r="N87" s="886">
        <f>+$N$3</f>
        <v>1.0029999999999999</v>
      </c>
      <c r="O87" s="888">
        <f>+$O$3</f>
        <v>1.0209999999999999</v>
      </c>
      <c r="P87" s="885">
        <f t="shared" si="14"/>
        <v>1.032</v>
      </c>
      <c r="Q87" s="886">
        <f t="shared" si="15"/>
        <v>1.0349999999999999</v>
      </c>
      <c r="R87" s="889">
        <f t="shared" si="1"/>
        <v>1.1932356231980656</v>
      </c>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row>
    <row r="88" spans="1:247">
      <c r="A88" s="4">
        <v>2252</v>
      </c>
      <c r="B88" s="9" t="s">
        <v>98</v>
      </c>
      <c r="C88" s="10" t="s">
        <v>8</v>
      </c>
      <c r="D88" s="878" t="s">
        <v>2340</v>
      </c>
      <c r="E88" s="885"/>
      <c r="F88" s="880">
        <v>1.0209999999999999</v>
      </c>
      <c r="G88" s="886">
        <v>1.0269999999999999</v>
      </c>
      <c r="H88" s="885">
        <v>1.0029999999999999</v>
      </c>
      <c r="I88" s="887">
        <v>1.0289999999999999</v>
      </c>
      <c r="J88" s="887">
        <v>1.0049999999999999</v>
      </c>
      <c r="K88" s="887"/>
      <c r="L88" s="887"/>
      <c r="M88" s="887">
        <v>1.0029999999999999</v>
      </c>
      <c r="N88" s="886">
        <v>1.0029999999999999</v>
      </c>
      <c r="O88" s="888">
        <v>1.0209999999999999</v>
      </c>
      <c r="P88" s="885">
        <v>1.032</v>
      </c>
      <c r="Q88" s="886">
        <v>1.0349999999999999</v>
      </c>
      <c r="R88" s="889">
        <v>1.1932356231980656</v>
      </c>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row>
    <row r="89" spans="1:247">
      <c r="A89" s="4">
        <v>2261</v>
      </c>
      <c r="B89" s="9" t="s">
        <v>99</v>
      </c>
      <c r="C89" s="10" t="s">
        <v>8</v>
      </c>
      <c r="D89" s="878" t="s">
        <v>2342</v>
      </c>
      <c r="E89" s="885"/>
      <c r="F89" s="880">
        <f t="shared" si="0"/>
        <v>1.0209999999999999</v>
      </c>
      <c r="G89" s="886">
        <f t="shared" si="7"/>
        <v>1.0269999999999999</v>
      </c>
      <c r="H89" s="885">
        <f>+$H$3</f>
        <v>1.0029999999999999</v>
      </c>
      <c r="I89" s="887">
        <f>+$I$3</f>
        <v>1.0289999999999999</v>
      </c>
      <c r="J89" s="887">
        <f>+$J$3</f>
        <v>1.0049999999999999</v>
      </c>
      <c r="K89" s="887"/>
      <c r="L89" s="887"/>
      <c r="M89" s="887">
        <f>+$M$3</f>
        <v>1.0029999999999999</v>
      </c>
      <c r="N89" s="886">
        <f>+$N$3</f>
        <v>1.0029999999999999</v>
      </c>
      <c r="O89" s="888">
        <f>+$O$3</f>
        <v>1.0209999999999999</v>
      </c>
      <c r="P89" s="885">
        <f t="shared" si="14"/>
        <v>1.032</v>
      </c>
      <c r="Q89" s="886">
        <f t="shared" si="15"/>
        <v>1.0349999999999999</v>
      </c>
      <c r="R89" s="889">
        <f t="shared" si="1"/>
        <v>1.1932356231980656</v>
      </c>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row>
    <row r="90" spans="1:247">
      <c r="A90" s="4">
        <v>2262</v>
      </c>
      <c r="B90" s="9" t="s">
        <v>100</v>
      </c>
      <c r="C90" s="10" t="s">
        <v>8</v>
      </c>
      <c r="D90" s="878" t="s">
        <v>2340</v>
      </c>
      <c r="E90" s="885"/>
      <c r="F90" s="880">
        <f t="shared" si="0"/>
        <v>1.0209999999999999</v>
      </c>
      <c r="G90" s="886"/>
      <c r="H90" s="885"/>
      <c r="I90" s="887"/>
      <c r="J90" s="887"/>
      <c r="K90" s="887"/>
      <c r="L90" s="887"/>
      <c r="M90" s="887"/>
      <c r="N90" s="886"/>
      <c r="O90" s="888"/>
      <c r="P90" s="885">
        <f t="shared" si="14"/>
        <v>1.032</v>
      </c>
      <c r="Q90" s="886">
        <f t="shared" si="15"/>
        <v>1.0349999999999999</v>
      </c>
      <c r="R90" s="889">
        <f t="shared" si="1"/>
        <v>1.0905505199999999</v>
      </c>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row>
    <row r="91" spans="1:247">
      <c r="A91" s="4">
        <v>2271</v>
      </c>
      <c r="B91" s="9" t="s">
        <v>101</v>
      </c>
      <c r="C91" s="10" t="s">
        <v>8</v>
      </c>
      <c r="D91" s="878" t="s">
        <v>2342</v>
      </c>
      <c r="E91" s="885"/>
      <c r="F91" s="880">
        <f t="shared" si="0"/>
        <v>1.0209999999999999</v>
      </c>
      <c r="G91" s="886">
        <f t="shared" ref="G91:G105" si="16">+$G$3</f>
        <v>1.0269999999999999</v>
      </c>
      <c r="H91" s="885">
        <f>+$H$3</f>
        <v>1.0029999999999999</v>
      </c>
      <c r="I91" s="887">
        <f>+$I$3</f>
        <v>1.0289999999999999</v>
      </c>
      <c r="J91" s="887">
        <f>+$J$3</f>
        <v>1.0049999999999999</v>
      </c>
      <c r="K91" s="887"/>
      <c r="L91" s="887"/>
      <c r="M91" s="887">
        <f>+$M$3</f>
        <v>1.0029999999999999</v>
      </c>
      <c r="N91" s="886">
        <f t="shared" ref="N91:N105" si="17">+$N$3</f>
        <v>1.0029999999999999</v>
      </c>
      <c r="O91" s="888">
        <f>+$O$3</f>
        <v>1.0209999999999999</v>
      </c>
      <c r="P91" s="885">
        <f t="shared" si="14"/>
        <v>1.032</v>
      </c>
      <c r="Q91" s="886">
        <f t="shared" si="15"/>
        <v>1.0349999999999999</v>
      </c>
      <c r="R91" s="889">
        <f t="shared" si="1"/>
        <v>1.1932356231980656</v>
      </c>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row>
    <row r="92" spans="1:247">
      <c r="A92" s="4">
        <v>2281</v>
      </c>
      <c r="B92" s="9" t="s">
        <v>102</v>
      </c>
      <c r="C92" s="10" t="s">
        <v>8</v>
      </c>
      <c r="D92" s="878" t="s">
        <v>2342</v>
      </c>
      <c r="E92" s="885"/>
      <c r="F92" s="880">
        <f t="shared" si="0"/>
        <v>1.0209999999999999</v>
      </c>
      <c r="G92" s="886">
        <f t="shared" si="16"/>
        <v>1.0269999999999999</v>
      </c>
      <c r="H92" s="885">
        <f>+$H$3</f>
        <v>1.0029999999999999</v>
      </c>
      <c r="I92" s="887">
        <f>+$I$3</f>
        <v>1.0289999999999999</v>
      </c>
      <c r="J92" s="887">
        <f>+$J$3</f>
        <v>1.0049999999999999</v>
      </c>
      <c r="K92" s="887"/>
      <c r="L92" s="887"/>
      <c r="M92" s="887">
        <f>+$M$3</f>
        <v>1.0029999999999999</v>
      </c>
      <c r="N92" s="886">
        <f t="shared" si="17"/>
        <v>1.0029999999999999</v>
      </c>
      <c r="O92" s="888">
        <f>+$O$3</f>
        <v>1.0209999999999999</v>
      </c>
      <c r="P92" s="885">
        <f t="shared" si="14"/>
        <v>1.032</v>
      </c>
      <c r="Q92" s="886">
        <f t="shared" si="15"/>
        <v>1.0349999999999999</v>
      </c>
      <c r="R92" s="889">
        <f t="shared" si="1"/>
        <v>1.1932356231980656</v>
      </c>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row>
    <row r="93" spans="1:247">
      <c r="A93" s="4">
        <v>2291</v>
      </c>
      <c r="B93" s="9" t="s">
        <v>103</v>
      </c>
      <c r="C93" s="10" t="s">
        <v>10</v>
      </c>
      <c r="D93" s="878" t="s">
        <v>2340</v>
      </c>
      <c r="E93" s="885"/>
      <c r="F93" s="880">
        <f t="shared" si="0"/>
        <v>1.0209999999999999</v>
      </c>
      <c r="G93" s="886">
        <f t="shared" si="16"/>
        <v>1.0269999999999999</v>
      </c>
      <c r="H93" s="885"/>
      <c r="I93" s="887"/>
      <c r="J93" s="887"/>
      <c r="K93" s="887"/>
      <c r="L93" s="887"/>
      <c r="M93" s="887"/>
      <c r="N93" s="886">
        <f t="shared" si="17"/>
        <v>1.0029999999999999</v>
      </c>
      <c r="O93" s="888"/>
      <c r="P93" s="885">
        <f t="shared" si="14"/>
        <v>1.032</v>
      </c>
      <c r="Q93" s="886">
        <f t="shared" si="15"/>
        <v>1.0349999999999999</v>
      </c>
      <c r="R93" s="889">
        <f t="shared" si="1"/>
        <v>1.1233553701921195</v>
      </c>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row>
    <row r="94" spans="1:247">
      <c r="A94" s="4">
        <v>3101</v>
      </c>
      <c r="B94" s="9" t="s">
        <v>104</v>
      </c>
      <c r="C94" s="10" t="s">
        <v>8</v>
      </c>
      <c r="D94" s="878" t="s">
        <v>2342</v>
      </c>
      <c r="E94" s="885">
        <f t="shared" ref="E94:E105" si="18">+$E$3</f>
        <v>1.0740000000000001</v>
      </c>
      <c r="F94" s="880">
        <f t="shared" si="0"/>
        <v>1.0209999999999999</v>
      </c>
      <c r="G94" s="886">
        <f t="shared" si="16"/>
        <v>1.0269999999999999</v>
      </c>
      <c r="H94" s="885">
        <f t="shared" ref="H94:H105" si="19">+$H$3</f>
        <v>1.0029999999999999</v>
      </c>
      <c r="I94" s="887">
        <f t="shared" ref="I94:I105" si="20">+$I$3</f>
        <v>1.0289999999999999</v>
      </c>
      <c r="J94" s="887">
        <f t="shared" ref="J94:J105" si="21">+$J$3</f>
        <v>1.0049999999999999</v>
      </c>
      <c r="K94" s="887">
        <f t="shared" ref="K94:K105" si="22">+$K$3</f>
        <v>1.026</v>
      </c>
      <c r="L94" s="887">
        <f t="shared" ref="L94:L105" si="23">+$L$3</f>
        <v>1.0129999999999999</v>
      </c>
      <c r="M94" s="887">
        <f t="shared" ref="M94:M105" si="24">+$M$3</f>
        <v>1.0029999999999999</v>
      </c>
      <c r="N94" s="886">
        <f t="shared" si="17"/>
        <v>1.0029999999999999</v>
      </c>
      <c r="O94" s="888">
        <f t="shared" ref="O94:O105" si="25">+$O$3</f>
        <v>1.0209999999999999</v>
      </c>
      <c r="P94" s="885">
        <f t="shared" si="14"/>
        <v>1.032</v>
      </c>
      <c r="Q94" s="886">
        <f t="shared" si="15"/>
        <v>1.0349999999999999</v>
      </c>
      <c r="R94" s="889">
        <f t="shared" si="1"/>
        <v>1.3319480854780448</v>
      </c>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row>
    <row r="95" spans="1:247">
      <c r="A95" s="4">
        <v>3102</v>
      </c>
      <c r="B95" s="9" t="s">
        <v>105</v>
      </c>
      <c r="C95" s="10" t="s">
        <v>8</v>
      </c>
      <c r="D95" s="878" t="s">
        <v>2342</v>
      </c>
      <c r="E95" s="885">
        <f t="shared" si="18"/>
        <v>1.0740000000000001</v>
      </c>
      <c r="F95" s="880">
        <f t="shared" si="0"/>
        <v>1.0209999999999999</v>
      </c>
      <c r="G95" s="886">
        <f t="shared" si="16"/>
        <v>1.0269999999999999</v>
      </c>
      <c r="H95" s="885">
        <f t="shared" si="19"/>
        <v>1.0029999999999999</v>
      </c>
      <c r="I95" s="887">
        <f t="shared" si="20"/>
        <v>1.0289999999999999</v>
      </c>
      <c r="J95" s="887">
        <f t="shared" si="21"/>
        <v>1.0049999999999999</v>
      </c>
      <c r="K95" s="887">
        <f t="shared" si="22"/>
        <v>1.026</v>
      </c>
      <c r="L95" s="887">
        <f t="shared" si="23"/>
        <v>1.0129999999999999</v>
      </c>
      <c r="M95" s="887">
        <f t="shared" si="24"/>
        <v>1.0029999999999999</v>
      </c>
      <c r="N95" s="886">
        <f t="shared" si="17"/>
        <v>1.0029999999999999</v>
      </c>
      <c r="O95" s="888">
        <f t="shared" si="25"/>
        <v>1.0209999999999999</v>
      </c>
      <c r="P95" s="885">
        <f t="shared" si="14"/>
        <v>1.032</v>
      </c>
      <c r="Q95" s="886">
        <f t="shared" si="15"/>
        <v>1.0349999999999999</v>
      </c>
      <c r="R95" s="889">
        <f t="shared" si="1"/>
        <v>1.3319480854780448</v>
      </c>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row>
    <row r="96" spans="1:247">
      <c r="A96" s="4">
        <v>3103</v>
      </c>
      <c r="B96" s="9" t="s">
        <v>106</v>
      </c>
      <c r="C96" s="10" t="s">
        <v>8</v>
      </c>
      <c r="D96" s="878" t="s">
        <v>2342</v>
      </c>
      <c r="E96" s="885">
        <f t="shared" si="18"/>
        <v>1.0740000000000001</v>
      </c>
      <c r="F96" s="880">
        <f t="shared" si="0"/>
        <v>1.0209999999999999</v>
      </c>
      <c r="G96" s="886">
        <f t="shared" si="16"/>
        <v>1.0269999999999999</v>
      </c>
      <c r="H96" s="885">
        <f t="shared" si="19"/>
        <v>1.0029999999999999</v>
      </c>
      <c r="I96" s="887">
        <f t="shared" si="20"/>
        <v>1.0289999999999999</v>
      </c>
      <c r="J96" s="887">
        <f t="shared" si="21"/>
        <v>1.0049999999999999</v>
      </c>
      <c r="K96" s="887">
        <f t="shared" si="22"/>
        <v>1.026</v>
      </c>
      <c r="L96" s="887">
        <f t="shared" si="23"/>
        <v>1.0129999999999999</v>
      </c>
      <c r="M96" s="887">
        <f t="shared" si="24"/>
        <v>1.0029999999999999</v>
      </c>
      <c r="N96" s="886">
        <f t="shared" si="17"/>
        <v>1.0029999999999999</v>
      </c>
      <c r="O96" s="888">
        <f t="shared" si="25"/>
        <v>1.0209999999999999</v>
      </c>
      <c r="P96" s="885">
        <f t="shared" si="14"/>
        <v>1.032</v>
      </c>
      <c r="Q96" s="886">
        <f t="shared" si="15"/>
        <v>1.0349999999999999</v>
      </c>
      <c r="R96" s="889">
        <f t="shared" si="1"/>
        <v>1.3319480854780448</v>
      </c>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row>
    <row r="97" spans="1:247">
      <c r="A97" s="4">
        <v>3104</v>
      </c>
      <c r="B97" s="9" t="s">
        <v>107</v>
      </c>
      <c r="C97" s="10" t="s">
        <v>8</v>
      </c>
      <c r="D97" s="878" t="s">
        <v>2342</v>
      </c>
      <c r="E97" s="885">
        <f t="shared" si="18"/>
        <v>1.0740000000000001</v>
      </c>
      <c r="F97" s="880">
        <f t="shared" si="0"/>
        <v>1.0209999999999999</v>
      </c>
      <c r="G97" s="886">
        <f t="shared" si="16"/>
        <v>1.0269999999999999</v>
      </c>
      <c r="H97" s="885">
        <f t="shared" si="19"/>
        <v>1.0029999999999999</v>
      </c>
      <c r="I97" s="887">
        <f t="shared" si="20"/>
        <v>1.0289999999999999</v>
      </c>
      <c r="J97" s="887">
        <f t="shared" si="21"/>
        <v>1.0049999999999999</v>
      </c>
      <c r="K97" s="887">
        <f t="shared" si="22"/>
        <v>1.026</v>
      </c>
      <c r="L97" s="887">
        <f t="shared" si="23"/>
        <v>1.0129999999999999</v>
      </c>
      <c r="M97" s="887">
        <f t="shared" si="24"/>
        <v>1.0029999999999999</v>
      </c>
      <c r="N97" s="886">
        <f t="shared" si="17"/>
        <v>1.0029999999999999</v>
      </c>
      <c r="O97" s="888">
        <f t="shared" si="25"/>
        <v>1.0209999999999999</v>
      </c>
      <c r="P97" s="885">
        <f t="shared" si="14"/>
        <v>1.032</v>
      </c>
      <c r="Q97" s="886">
        <f t="shared" si="15"/>
        <v>1.0349999999999999</v>
      </c>
      <c r="R97" s="889">
        <f t="shared" si="1"/>
        <v>1.3319480854780448</v>
      </c>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row>
    <row r="98" spans="1:247">
      <c r="A98" s="4">
        <v>3131</v>
      </c>
      <c r="B98" s="9" t="s">
        <v>108</v>
      </c>
      <c r="C98" s="10" t="s">
        <v>8</v>
      </c>
      <c r="D98" s="878" t="s">
        <v>2342</v>
      </c>
      <c r="E98" s="885">
        <f t="shared" si="18"/>
        <v>1.0740000000000001</v>
      </c>
      <c r="F98" s="880">
        <f t="shared" si="0"/>
        <v>1.0209999999999999</v>
      </c>
      <c r="G98" s="886">
        <f t="shared" si="16"/>
        <v>1.0269999999999999</v>
      </c>
      <c r="H98" s="885">
        <f t="shared" si="19"/>
        <v>1.0029999999999999</v>
      </c>
      <c r="I98" s="887">
        <f t="shared" si="20"/>
        <v>1.0289999999999999</v>
      </c>
      <c r="J98" s="887">
        <f t="shared" si="21"/>
        <v>1.0049999999999999</v>
      </c>
      <c r="K98" s="887">
        <f t="shared" si="22"/>
        <v>1.026</v>
      </c>
      <c r="L98" s="887">
        <f t="shared" si="23"/>
        <v>1.0129999999999999</v>
      </c>
      <c r="M98" s="887">
        <f t="shared" si="24"/>
        <v>1.0029999999999999</v>
      </c>
      <c r="N98" s="886">
        <f t="shared" si="17"/>
        <v>1.0029999999999999</v>
      </c>
      <c r="O98" s="888">
        <f t="shared" si="25"/>
        <v>1.0209999999999999</v>
      </c>
      <c r="P98" s="885">
        <f t="shared" si="14"/>
        <v>1.032</v>
      </c>
      <c r="Q98" s="886">
        <f t="shared" si="15"/>
        <v>1.0349999999999999</v>
      </c>
      <c r="R98" s="889">
        <f t="shared" si="1"/>
        <v>1.3319480854780448</v>
      </c>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row>
    <row r="99" spans="1:247">
      <c r="A99" s="4">
        <v>3141</v>
      </c>
      <c r="B99" s="9" t="s">
        <v>109</v>
      </c>
      <c r="C99" s="10" t="s">
        <v>8</v>
      </c>
      <c r="D99" s="878" t="s">
        <v>2342</v>
      </c>
      <c r="E99" s="885">
        <f t="shared" si="18"/>
        <v>1.0740000000000001</v>
      </c>
      <c r="F99" s="880">
        <f t="shared" si="0"/>
        <v>1.0209999999999999</v>
      </c>
      <c r="G99" s="886">
        <f t="shared" si="16"/>
        <v>1.0269999999999999</v>
      </c>
      <c r="H99" s="885">
        <f t="shared" si="19"/>
        <v>1.0029999999999999</v>
      </c>
      <c r="I99" s="887">
        <f t="shared" si="20"/>
        <v>1.0289999999999999</v>
      </c>
      <c r="J99" s="887">
        <f t="shared" si="21"/>
        <v>1.0049999999999999</v>
      </c>
      <c r="K99" s="887">
        <f t="shared" si="22"/>
        <v>1.026</v>
      </c>
      <c r="L99" s="887">
        <f t="shared" si="23"/>
        <v>1.0129999999999999</v>
      </c>
      <c r="M99" s="887">
        <f t="shared" si="24"/>
        <v>1.0029999999999999</v>
      </c>
      <c r="N99" s="886">
        <f t="shared" si="17"/>
        <v>1.0029999999999999</v>
      </c>
      <c r="O99" s="888">
        <f t="shared" si="25"/>
        <v>1.0209999999999999</v>
      </c>
      <c r="P99" s="885">
        <f t="shared" si="14"/>
        <v>1.032</v>
      </c>
      <c r="Q99" s="886">
        <f t="shared" si="15"/>
        <v>1.0349999999999999</v>
      </c>
      <c r="R99" s="889">
        <f>PRODUCT(E99:Q99)</f>
        <v>1.3319480854780448</v>
      </c>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row>
    <row r="100" spans="1:247">
      <c r="A100" s="4">
        <v>3151</v>
      </c>
      <c r="B100" s="9" t="s">
        <v>110</v>
      </c>
      <c r="C100" s="10" t="s">
        <v>8</v>
      </c>
      <c r="D100" s="878" t="s">
        <v>2342</v>
      </c>
      <c r="E100" s="885">
        <f t="shared" si="18"/>
        <v>1.0740000000000001</v>
      </c>
      <c r="F100" s="880">
        <f t="shared" si="0"/>
        <v>1.0209999999999999</v>
      </c>
      <c r="G100" s="886">
        <f t="shared" si="16"/>
        <v>1.0269999999999999</v>
      </c>
      <c r="H100" s="885">
        <f t="shared" si="19"/>
        <v>1.0029999999999999</v>
      </c>
      <c r="I100" s="887">
        <f t="shared" si="20"/>
        <v>1.0289999999999999</v>
      </c>
      <c r="J100" s="887">
        <f t="shared" si="21"/>
        <v>1.0049999999999999</v>
      </c>
      <c r="K100" s="887">
        <f t="shared" si="22"/>
        <v>1.026</v>
      </c>
      <c r="L100" s="887">
        <f t="shared" si="23"/>
        <v>1.0129999999999999</v>
      </c>
      <c r="M100" s="887">
        <f t="shared" si="24"/>
        <v>1.0029999999999999</v>
      </c>
      <c r="N100" s="886">
        <f t="shared" si="17"/>
        <v>1.0029999999999999</v>
      </c>
      <c r="O100" s="888">
        <f t="shared" si="25"/>
        <v>1.0209999999999999</v>
      </c>
      <c r="P100" s="885">
        <f t="shared" si="14"/>
        <v>1.032</v>
      </c>
      <c r="Q100" s="886">
        <f t="shared" si="15"/>
        <v>1.0349999999999999</v>
      </c>
      <c r="R100" s="889">
        <f>PRODUCT(E100:Q100)</f>
        <v>1.3319480854780448</v>
      </c>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row>
    <row r="101" spans="1:247">
      <c r="A101" s="4">
        <v>3161</v>
      </c>
      <c r="B101" s="9" t="s">
        <v>111</v>
      </c>
      <c r="C101" s="10" t="s">
        <v>8</v>
      </c>
      <c r="D101" s="878" t="s">
        <v>2342</v>
      </c>
      <c r="E101" s="885">
        <f t="shared" si="18"/>
        <v>1.0740000000000001</v>
      </c>
      <c r="F101" s="880">
        <f t="shared" si="0"/>
        <v>1.0209999999999999</v>
      </c>
      <c r="G101" s="886">
        <f t="shared" si="16"/>
        <v>1.0269999999999999</v>
      </c>
      <c r="H101" s="885">
        <f t="shared" si="19"/>
        <v>1.0029999999999999</v>
      </c>
      <c r="I101" s="887">
        <f t="shared" si="20"/>
        <v>1.0289999999999999</v>
      </c>
      <c r="J101" s="887">
        <f t="shared" si="21"/>
        <v>1.0049999999999999</v>
      </c>
      <c r="K101" s="887">
        <f t="shared" si="22"/>
        <v>1.026</v>
      </c>
      <c r="L101" s="887">
        <f t="shared" si="23"/>
        <v>1.0129999999999999</v>
      </c>
      <c r="M101" s="887">
        <f t="shared" si="24"/>
        <v>1.0029999999999999</v>
      </c>
      <c r="N101" s="886">
        <f t="shared" si="17"/>
        <v>1.0029999999999999</v>
      </c>
      <c r="O101" s="888">
        <f t="shared" si="25"/>
        <v>1.0209999999999999</v>
      </c>
      <c r="P101" s="885">
        <f t="shared" si="14"/>
        <v>1.032</v>
      </c>
      <c r="Q101" s="886">
        <f t="shared" si="15"/>
        <v>1.0349999999999999</v>
      </c>
      <c r="R101" s="889">
        <f>PRODUCT(E101:Q101)</f>
        <v>1.3319480854780448</v>
      </c>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row>
    <row r="102" spans="1:247">
      <c r="A102" s="4">
        <v>3171</v>
      </c>
      <c r="B102" s="9" t="s">
        <v>112</v>
      </c>
      <c r="C102" s="10" t="s">
        <v>8</v>
      </c>
      <c r="D102" s="878" t="s">
        <v>2342</v>
      </c>
      <c r="E102" s="885">
        <f t="shared" si="18"/>
        <v>1.0740000000000001</v>
      </c>
      <c r="F102" s="880">
        <f t="shared" si="0"/>
        <v>1.0209999999999999</v>
      </c>
      <c r="G102" s="886">
        <f t="shared" si="16"/>
        <v>1.0269999999999999</v>
      </c>
      <c r="H102" s="885">
        <f t="shared" si="19"/>
        <v>1.0029999999999999</v>
      </c>
      <c r="I102" s="887">
        <f t="shared" si="20"/>
        <v>1.0289999999999999</v>
      </c>
      <c r="J102" s="887">
        <f t="shared" si="21"/>
        <v>1.0049999999999999</v>
      </c>
      <c r="K102" s="887">
        <f t="shared" si="22"/>
        <v>1.026</v>
      </c>
      <c r="L102" s="887">
        <f t="shared" si="23"/>
        <v>1.0129999999999999</v>
      </c>
      <c r="M102" s="887">
        <f t="shared" si="24"/>
        <v>1.0029999999999999</v>
      </c>
      <c r="N102" s="886">
        <f t="shared" si="17"/>
        <v>1.0029999999999999</v>
      </c>
      <c r="O102" s="888">
        <f t="shared" si="25"/>
        <v>1.0209999999999999</v>
      </c>
      <c r="P102" s="885">
        <f t="shared" si="14"/>
        <v>1.032</v>
      </c>
      <c r="Q102" s="886">
        <f t="shared" si="15"/>
        <v>1.0349999999999999</v>
      </c>
      <c r="R102" s="889">
        <f>PRODUCT(E102:Q102)</f>
        <v>1.3319480854780448</v>
      </c>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row>
    <row r="103" spans="1:247">
      <c r="A103" s="4">
        <v>3181</v>
      </c>
      <c r="B103" s="9" t="s">
        <v>113</v>
      </c>
      <c r="C103" s="10" t="s">
        <v>8</v>
      </c>
      <c r="D103" s="878" t="s">
        <v>2342</v>
      </c>
      <c r="E103" s="885">
        <f t="shared" si="18"/>
        <v>1.0740000000000001</v>
      </c>
      <c r="F103" s="880">
        <f t="shared" si="0"/>
        <v>1.0209999999999999</v>
      </c>
      <c r="G103" s="886"/>
      <c r="H103" s="885">
        <f t="shared" si="19"/>
        <v>1.0029999999999999</v>
      </c>
      <c r="I103" s="887">
        <f t="shared" si="20"/>
        <v>1.0289999999999999</v>
      </c>
      <c r="J103" s="887">
        <f t="shared" si="21"/>
        <v>1.0049999999999999</v>
      </c>
      <c r="K103" s="887">
        <f t="shared" si="22"/>
        <v>1.026</v>
      </c>
      <c r="L103" s="887">
        <f t="shared" si="23"/>
        <v>1.0129999999999999</v>
      </c>
      <c r="M103" s="887">
        <f t="shared" si="24"/>
        <v>1.0029999999999999</v>
      </c>
      <c r="N103" s="886">
        <f t="shared" si="17"/>
        <v>1.0029999999999999</v>
      </c>
      <c r="O103" s="888">
        <f t="shared" si="25"/>
        <v>1.0209999999999999</v>
      </c>
      <c r="P103" s="885">
        <f t="shared" si="14"/>
        <v>1.032</v>
      </c>
      <c r="Q103" s="886">
        <f t="shared" si="15"/>
        <v>1.0349999999999999</v>
      </c>
      <c r="R103" s="889">
        <f t="shared" si="1"/>
        <v>1.2969309498325658</v>
      </c>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row>
    <row r="104" spans="1:247">
      <c r="A104" s="4">
        <v>3191</v>
      </c>
      <c r="B104" s="9" t="s">
        <v>114</v>
      </c>
      <c r="C104" s="10" t="s">
        <v>8</v>
      </c>
      <c r="D104" s="878" t="s">
        <v>2342</v>
      </c>
      <c r="E104" s="885">
        <f t="shared" si="18"/>
        <v>1.0740000000000001</v>
      </c>
      <c r="F104" s="880">
        <f t="shared" si="0"/>
        <v>1.0209999999999999</v>
      </c>
      <c r="G104" s="886">
        <f t="shared" si="16"/>
        <v>1.0269999999999999</v>
      </c>
      <c r="H104" s="885">
        <f t="shared" si="19"/>
        <v>1.0029999999999999</v>
      </c>
      <c r="I104" s="887">
        <f t="shared" si="20"/>
        <v>1.0289999999999999</v>
      </c>
      <c r="J104" s="887">
        <f t="shared" si="21"/>
        <v>1.0049999999999999</v>
      </c>
      <c r="K104" s="887">
        <f t="shared" si="22"/>
        <v>1.026</v>
      </c>
      <c r="L104" s="887">
        <f t="shared" si="23"/>
        <v>1.0129999999999999</v>
      </c>
      <c r="M104" s="887">
        <f t="shared" si="24"/>
        <v>1.0029999999999999</v>
      </c>
      <c r="N104" s="886">
        <f t="shared" si="17"/>
        <v>1.0029999999999999</v>
      </c>
      <c r="O104" s="888">
        <f t="shared" si="25"/>
        <v>1.0209999999999999</v>
      </c>
      <c r="P104" s="885">
        <f t="shared" si="14"/>
        <v>1.032</v>
      </c>
      <c r="Q104" s="886">
        <f t="shared" si="15"/>
        <v>1.0349999999999999</v>
      </c>
      <c r="R104" s="889">
        <f>PRODUCT(E104:Q104)</f>
        <v>1.3319480854780448</v>
      </c>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row>
    <row r="105" spans="1:247">
      <c r="A105" s="4">
        <v>3201</v>
      </c>
      <c r="B105" s="9" t="s">
        <v>115</v>
      </c>
      <c r="C105" s="10" t="s">
        <v>8</v>
      </c>
      <c r="D105" s="878" t="s">
        <v>2342</v>
      </c>
      <c r="E105" s="885">
        <f t="shared" si="18"/>
        <v>1.0740000000000001</v>
      </c>
      <c r="F105" s="880">
        <f t="shared" si="0"/>
        <v>1.0209999999999999</v>
      </c>
      <c r="G105" s="886">
        <f t="shared" si="16"/>
        <v>1.0269999999999999</v>
      </c>
      <c r="H105" s="885">
        <f t="shared" si="19"/>
        <v>1.0029999999999999</v>
      </c>
      <c r="I105" s="887">
        <f t="shared" si="20"/>
        <v>1.0289999999999999</v>
      </c>
      <c r="J105" s="887">
        <f t="shared" si="21"/>
        <v>1.0049999999999999</v>
      </c>
      <c r="K105" s="887">
        <f t="shared" si="22"/>
        <v>1.026</v>
      </c>
      <c r="L105" s="887">
        <f t="shared" si="23"/>
        <v>1.0129999999999999</v>
      </c>
      <c r="M105" s="887">
        <f t="shared" si="24"/>
        <v>1.0029999999999999</v>
      </c>
      <c r="N105" s="886">
        <f t="shared" si="17"/>
        <v>1.0029999999999999</v>
      </c>
      <c r="O105" s="888">
        <f t="shared" si="25"/>
        <v>1.0209999999999999</v>
      </c>
      <c r="P105" s="885">
        <f t="shared" si="14"/>
        <v>1.032</v>
      </c>
      <c r="Q105" s="886">
        <f t="shared" si="15"/>
        <v>1.0349999999999999</v>
      </c>
      <c r="R105" s="889">
        <f>PRODUCT(E105:Q105)</f>
        <v>1.3319480854780448</v>
      </c>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row>
    <row r="106" spans="1:247">
      <c r="A106" s="4">
        <v>4114</v>
      </c>
      <c r="B106" s="9" t="s">
        <v>116</v>
      </c>
      <c r="C106" s="10" t="s">
        <v>5</v>
      </c>
      <c r="D106" s="878" t="s">
        <v>2340</v>
      </c>
      <c r="E106" s="885"/>
      <c r="F106" s="880">
        <f t="shared" si="0"/>
        <v>1.0209999999999999</v>
      </c>
      <c r="G106" s="886"/>
      <c r="H106" s="885"/>
      <c r="I106" s="887"/>
      <c r="J106" s="887"/>
      <c r="K106" s="887"/>
      <c r="L106" s="887"/>
      <c r="M106" s="887"/>
      <c r="N106" s="886"/>
      <c r="O106" s="888"/>
      <c r="P106" s="885"/>
      <c r="Q106" s="886"/>
      <c r="R106" s="889">
        <f t="shared" si="1"/>
        <v>1.0209999999999999</v>
      </c>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row>
    <row r="107" spans="1:247">
      <c r="A107" s="4">
        <v>4212</v>
      </c>
      <c r="B107" s="9" t="s">
        <v>117</v>
      </c>
      <c r="C107" s="10" t="s">
        <v>8</v>
      </c>
      <c r="D107" s="878" t="s">
        <v>2342</v>
      </c>
      <c r="E107" s="885"/>
      <c r="F107" s="880">
        <f t="shared" si="0"/>
        <v>1.0209999999999999</v>
      </c>
      <c r="G107" s="886">
        <f>+$G$3</f>
        <v>1.0269999999999999</v>
      </c>
      <c r="H107" s="885">
        <f>+$H$3</f>
        <v>1.0029999999999999</v>
      </c>
      <c r="I107" s="887">
        <f>+$I$3</f>
        <v>1.0289999999999999</v>
      </c>
      <c r="J107" s="887">
        <f>+$J$3</f>
        <v>1.0049999999999999</v>
      </c>
      <c r="K107" s="887"/>
      <c r="L107" s="887"/>
      <c r="M107" s="887">
        <f>+$M$3</f>
        <v>1.0029999999999999</v>
      </c>
      <c r="N107" s="886">
        <f>+$N$3</f>
        <v>1.0029999999999999</v>
      </c>
      <c r="O107" s="888">
        <f>+$O$3</f>
        <v>1.0209999999999999</v>
      </c>
      <c r="P107" s="885">
        <f>+$P$3</f>
        <v>1.032</v>
      </c>
      <c r="Q107" s="886">
        <f>+$Q$3</f>
        <v>1.0349999999999999</v>
      </c>
      <c r="R107" s="889">
        <f t="shared" si="1"/>
        <v>1.1932356231980656</v>
      </c>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row>
    <row r="108" spans="1:247">
      <c r="A108" s="4">
        <v>4231</v>
      </c>
      <c r="B108" s="9" t="s">
        <v>118</v>
      </c>
      <c r="C108" s="10" t="s">
        <v>5</v>
      </c>
      <c r="D108" s="878" t="s">
        <v>2340</v>
      </c>
      <c r="E108" s="885"/>
      <c r="F108" s="880">
        <f t="shared" si="0"/>
        <v>1.0209999999999999</v>
      </c>
      <c r="G108" s="886"/>
      <c r="H108" s="885"/>
      <c r="I108" s="887"/>
      <c r="J108" s="887"/>
      <c r="K108" s="887"/>
      <c r="L108" s="887"/>
      <c r="M108" s="887"/>
      <c r="N108" s="886"/>
      <c r="O108" s="888"/>
      <c r="P108" s="885"/>
      <c r="Q108" s="886"/>
      <c r="R108" s="889">
        <f t="shared" si="1"/>
        <v>1.0209999999999999</v>
      </c>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row>
    <row r="109" spans="1:247">
      <c r="A109" s="4">
        <v>4251</v>
      </c>
      <c r="B109" s="9" t="s">
        <v>119</v>
      </c>
      <c r="C109" s="10" t="s">
        <v>3</v>
      </c>
      <c r="D109" s="878" t="s">
        <v>2340</v>
      </c>
      <c r="E109" s="885"/>
      <c r="F109" s="880">
        <f t="shared" si="0"/>
        <v>1.0209999999999999</v>
      </c>
      <c r="G109" s="886"/>
      <c r="H109" s="885"/>
      <c r="I109" s="887"/>
      <c r="J109" s="887"/>
      <c r="K109" s="887"/>
      <c r="L109" s="887"/>
      <c r="M109" s="887"/>
      <c r="N109" s="886"/>
      <c r="O109" s="888"/>
      <c r="P109" s="885">
        <f t="shared" ref="P109:P125" si="26">+$P$3</f>
        <v>1.032</v>
      </c>
      <c r="Q109" s="886">
        <f t="shared" ref="Q109:Q125" si="27">+$Q$3</f>
        <v>1.0349999999999999</v>
      </c>
      <c r="R109" s="889">
        <f t="shared" si="1"/>
        <v>1.0905505199999999</v>
      </c>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row>
    <row r="110" spans="1:247">
      <c r="A110" s="4">
        <v>4311</v>
      </c>
      <c r="B110" s="9" t="s">
        <v>120</v>
      </c>
      <c r="C110" s="10" t="s">
        <v>8</v>
      </c>
      <c r="D110" s="878" t="s">
        <v>2342</v>
      </c>
      <c r="E110" s="885"/>
      <c r="F110" s="880">
        <f t="shared" si="0"/>
        <v>1.0209999999999999</v>
      </c>
      <c r="G110" s="886">
        <f>+$G$3</f>
        <v>1.0269999999999999</v>
      </c>
      <c r="H110" s="885">
        <f>+$H$3</f>
        <v>1.0029999999999999</v>
      </c>
      <c r="I110" s="887">
        <f>+$I$3</f>
        <v>1.0289999999999999</v>
      </c>
      <c r="J110" s="887">
        <f>+$J$3</f>
        <v>1.0049999999999999</v>
      </c>
      <c r="K110" s="887"/>
      <c r="L110" s="887"/>
      <c r="M110" s="887">
        <f>+$M$3</f>
        <v>1.0029999999999999</v>
      </c>
      <c r="N110" s="886">
        <f>+$N$3</f>
        <v>1.0029999999999999</v>
      </c>
      <c r="O110" s="888"/>
      <c r="P110" s="885">
        <f t="shared" si="26"/>
        <v>1.032</v>
      </c>
      <c r="Q110" s="886">
        <f t="shared" si="27"/>
        <v>1.0349999999999999</v>
      </c>
      <c r="R110" s="889">
        <f t="shared" si="1"/>
        <v>1.168693068754227</v>
      </c>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row>
    <row r="111" spans="1:247">
      <c r="A111" s="4">
        <v>4321</v>
      </c>
      <c r="B111" s="9" t="s">
        <v>121</v>
      </c>
      <c r="C111" s="10" t="s">
        <v>8</v>
      </c>
      <c r="D111" s="878" t="s">
        <v>2342</v>
      </c>
      <c r="E111" s="885"/>
      <c r="F111" s="880">
        <f t="shared" si="0"/>
        <v>1.0209999999999999</v>
      </c>
      <c r="G111" s="886">
        <f>+$G$3</f>
        <v>1.0269999999999999</v>
      </c>
      <c r="H111" s="885"/>
      <c r="I111" s="887">
        <f>+$I$3</f>
        <v>1.0289999999999999</v>
      </c>
      <c r="J111" s="887">
        <f>+$J$3</f>
        <v>1.0049999999999999</v>
      </c>
      <c r="K111" s="887"/>
      <c r="L111" s="887"/>
      <c r="M111" s="887">
        <f>+$M$3</f>
        <v>1.0029999999999999</v>
      </c>
      <c r="N111" s="886">
        <f>+$N$3</f>
        <v>1.0029999999999999</v>
      </c>
      <c r="O111" s="888"/>
      <c r="P111" s="885">
        <f t="shared" si="26"/>
        <v>1.032</v>
      </c>
      <c r="Q111" s="886">
        <f t="shared" si="27"/>
        <v>1.0349999999999999</v>
      </c>
      <c r="R111" s="889">
        <f t="shared" si="1"/>
        <v>1.1651974763252515</v>
      </c>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row>
    <row r="112" spans="1:247">
      <c r="A112" s="4">
        <v>4414</v>
      </c>
      <c r="B112" s="9" t="s">
        <v>122</v>
      </c>
      <c r="C112" s="10" t="s">
        <v>8</v>
      </c>
      <c r="D112" s="878" t="s">
        <v>2342</v>
      </c>
      <c r="E112" s="885"/>
      <c r="F112" s="880">
        <f t="shared" si="0"/>
        <v>1.0209999999999999</v>
      </c>
      <c r="G112" s="886">
        <f>+$G$3</f>
        <v>1.0269999999999999</v>
      </c>
      <c r="H112" s="885">
        <f>+$H$3</f>
        <v>1.0029999999999999</v>
      </c>
      <c r="I112" s="887">
        <f>+$I$3</f>
        <v>1.0289999999999999</v>
      </c>
      <c r="J112" s="887">
        <f>+$J$3</f>
        <v>1.0049999999999999</v>
      </c>
      <c r="K112" s="887"/>
      <c r="L112" s="887"/>
      <c r="M112" s="887">
        <f>+$M$3</f>
        <v>1.0029999999999999</v>
      </c>
      <c r="N112" s="886">
        <f>+$N$3</f>
        <v>1.0029999999999999</v>
      </c>
      <c r="O112" s="888"/>
      <c r="P112" s="885">
        <f t="shared" si="26"/>
        <v>1.032</v>
      </c>
      <c r="Q112" s="886">
        <f t="shared" si="27"/>
        <v>1.0349999999999999</v>
      </c>
      <c r="R112" s="889">
        <f t="shared" si="1"/>
        <v>1.168693068754227</v>
      </c>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row>
    <row r="113" spans="1:247">
      <c r="A113" s="4">
        <v>4424</v>
      </c>
      <c r="B113" s="9" t="s">
        <v>123</v>
      </c>
      <c r="C113" s="10" t="s">
        <v>8</v>
      </c>
      <c r="D113" s="878" t="s">
        <v>2342</v>
      </c>
      <c r="E113" s="885"/>
      <c r="F113" s="880">
        <f t="shared" si="0"/>
        <v>1.0209999999999999</v>
      </c>
      <c r="G113" s="886">
        <f>+$G$3</f>
        <v>1.0269999999999999</v>
      </c>
      <c r="H113" s="885">
        <f>+$H$3</f>
        <v>1.0029999999999999</v>
      </c>
      <c r="I113" s="887">
        <f>+$I$3</f>
        <v>1.0289999999999999</v>
      </c>
      <c r="J113" s="887">
        <f>+$J$3</f>
        <v>1.0049999999999999</v>
      </c>
      <c r="K113" s="887"/>
      <c r="L113" s="887"/>
      <c r="M113" s="887">
        <f>+$M$3</f>
        <v>1.0029999999999999</v>
      </c>
      <c r="N113" s="886">
        <f>+$N$3</f>
        <v>1.0029999999999999</v>
      </c>
      <c r="O113" s="888"/>
      <c r="P113" s="885">
        <f t="shared" si="26"/>
        <v>1.032</v>
      </c>
      <c r="Q113" s="886">
        <f t="shared" si="27"/>
        <v>1.0349999999999999</v>
      </c>
      <c r="R113" s="889">
        <f t="shared" si="1"/>
        <v>1.168693068754227</v>
      </c>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row>
    <row r="114" spans="1:247">
      <c r="A114" s="4">
        <v>4425</v>
      </c>
      <c r="B114" s="9" t="s">
        <v>124</v>
      </c>
      <c r="C114" s="10" t="s">
        <v>8</v>
      </c>
      <c r="D114" s="878" t="s">
        <v>2342</v>
      </c>
      <c r="E114" s="885"/>
      <c r="F114" s="880">
        <f t="shared" si="0"/>
        <v>1.0209999999999999</v>
      </c>
      <c r="G114" s="886">
        <f>+$G$3</f>
        <v>1.0269999999999999</v>
      </c>
      <c r="H114" s="885"/>
      <c r="I114" s="887"/>
      <c r="J114" s="887">
        <f>+$J$3</f>
        <v>1.0049999999999999</v>
      </c>
      <c r="K114" s="887"/>
      <c r="L114" s="887"/>
      <c r="M114" s="887"/>
      <c r="N114" s="886"/>
      <c r="O114" s="888"/>
      <c r="P114" s="885">
        <f t="shared" si="26"/>
        <v>1.032</v>
      </c>
      <c r="Q114" s="886">
        <f t="shared" si="27"/>
        <v>1.0349999999999999</v>
      </c>
      <c r="R114" s="889">
        <f t="shared" si="1"/>
        <v>1.1255953609601996</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row>
    <row r="115" spans="1:247">
      <c r="A115" s="4">
        <v>4426</v>
      </c>
      <c r="B115" s="9" t="s">
        <v>125</v>
      </c>
      <c r="C115" s="10" t="s">
        <v>8</v>
      </c>
      <c r="D115" s="878" t="s">
        <v>2342</v>
      </c>
      <c r="E115" s="885"/>
      <c r="F115" s="880">
        <f t="shared" si="0"/>
        <v>1.0209999999999999</v>
      </c>
      <c r="G115" s="886"/>
      <c r="H115" s="885"/>
      <c r="I115" s="887"/>
      <c r="J115" s="887"/>
      <c r="K115" s="887"/>
      <c r="L115" s="887"/>
      <c r="M115" s="887"/>
      <c r="N115" s="886"/>
      <c r="O115" s="888"/>
      <c r="P115" s="885">
        <f t="shared" si="26"/>
        <v>1.032</v>
      </c>
      <c r="Q115" s="886">
        <f t="shared" si="27"/>
        <v>1.0349999999999999</v>
      </c>
      <c r="R115" s="889">
        <f t="shared" si="1"/>
        <v>1.0905505199999999</v>
      </c>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row>
    <row r="116" spans="1:247">
      <c r="A116" s="4">
        <v>4428</v>
      </c>
      <c r="B116" s="9" t="s">
        <v>126</v>
      </c>
      <c r="C116" s="10" t="s">
        <v>8</v>
      </c>
      <c r="D116" s="878" t="s">
        <v>2342</v>
      </c>
      <c r="E116" s="885"/>
      <c r="F116" s="880">
        <f t="shared" si="0"/>
        <v>1.0209999999999999</v>
      </c>
      <c r="G116" s="886"/>
      <c r="H116" s="885"/>
      <c r="I116" s="887"/>
      <c r="J116" s="887">
        <f>+$J$3</f>
        <v>1.0049999999999999</v>
      </c>
      <c r="K116" s="887"/>
      <c r="L116" s="887"/>
      <c r="M116" s="887">
        <f>+$M$3</f>
        <v>1.0029999999999999</v>
      </c>
      <c r="N116" s="886">
        <f>+$N$3</f>
        <v>1.0029999999999999</v>
      </c>
      <c r="O116" s="888"/>
      <c r="P116" s="885">
        <f t="shared" si="26"/>
        <v>1.032</v>
      </c>
      <c r="Q116" s="886">
        <f t="shared" si="27"/>
        <v>1.0349999999999999</v>
      </c>
      <c r="R116" s="889">
        <f t="shared" si="1"/>
        <v>1.1025891562650529</v>
      </c>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row>
    <row r="117" spans="1:247">
      <c r="A117" s="4">
        <v>4511</v>
      </c>
      <c r="B117" s="9" t="s">
        <v>127</v>
      </c>
      <c r="C117" s="10" t="s">
        <v>3</v>
      </c>
      <c r="D117" s="878" t="s">
        <v>2340</v>
      </c>
      <c r="E117" s="885"/>
      <c r="F117" s="880">
        <f t="shared" si="0"/>
        <v>1.0209999999999999</v>
      </c>
      <c r="G117" s="886"/>
      <c r="H117" s="885"/>
      <c r="I117" s="887"/>
      <c r="J117" s="887"/>
      <c r="K117" s="887"/>
      <c r="L117" s="887"/>
      <c r="M117" s="887"/>
      <c r="N117" s="886"/>
      <c r="O117" s="888"/>
      <c r="P117" s="885">
        <f t="shared" si="26"/>
        <v>1.032</v>
      </c>
      <c r="Q117" s="886">
        <f t="shared" si="27"/>
        <v>1.0349999999999999</v>
      </c>
      <c r="R117" s="889">
        <f>PRODUCT(E117:Q117)</f>
        <v>1.0905505199999999</v>
      </c>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row>
    <row r="118" spans="1:247">
      <c r="A118" s="4">
        <v>4521</v>
      </c>
      <c r="B118" s="9" t="s">
        <v>128</v>
      </c>
      <c r="C118" s="10" t="s">
        <v>3</v>
      </c>
      <c r="D118" s="878" t="s">
        <v>2340</v>
      </c>
      <c r="E118" s="885"/>
      <c r="F118" s="880">
        <f t="shared" si="0"/>
        <v>1.0209999999999999</v>
      </c>
      <c r="G118" s="886"/>
      <c r="H118" s="885"/>
      <c r="I118" s="887"/>
      <c r="J118" s="887"/>
      <c r="K118" s="887"/>
      <c r="L118" s="887"/>
      <c r="M118" s="887"/>
      <c r="N118" s="886"/>
      <c r="O118" s="888"/>
      <c r="P118" s="885">
        <f t="shared" si="26"/>
        <v>1.032</v>
      </c>
      <c r="Q118" s="886">
        <f t="shared" si="27"/>
        <v>1.0349999999999999</v>
      </c>
      <c r="R118" s="889">
        <f>PRODUCT(E118:Q118)</f>
        <v>1.0905505199999999</v>
      </c>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row>
    <row r="119" spans="1:247">
      <c r="A119" s="4">
        <v>5302</v>
      </c>
      <c r="B119" s="9" t="s">
        <v>129</v>
      </c>
      <c r="C119" s="10" t="s">
        <v>8</v>
      </c>
      <c r="D119" s="878" t="s">
        <v>2342</v>
      </c>
      <c r="E119" s="885">
        <f>+$E$3</f>
        <v>1.0740000000000001</v>
      </c>
      <c r="F119" s="880">
        <f t="shared" si="0"/>
        <v>1.0209999999999999</v>
      </c>
      <c r="G119" s="886">
        <f t="shared" ref="G119:G125" si="28">+$G$3</f>
        <v>1.0269999999999999</v>
      </c>
      <c r="H119" s="885">
        <f>+$H$3</f>
        <v>1.0029999999999999</v>
      </c>
      <c r="I119" s="887">
        <f>+$I$3</f>
        <v>1.0289999999999999</v>
      </c>
      <c r="J119" s="887">
        <f>+$J$3</f>
        <v>1.0049999999999999</v>
      </c>
      <c r="K119" s="887">
        <f>+$K$3</f>
        <v>1.026</v>
      </c>
      <c r="L119" s="887">
        <f>+$L$3</f>
        <v>1.0129999999999999</v>
      </c>
      <c r="M119" s="887">
        <f>+$M$3</f>
        <v>1.0029999999999999</v>
      </c>
      <c r="N119" s="886">
        <f>+$N$3</f>
        <v>1.0029999999999999</v>
      </c>
      <c r="O119" s="888">
        <f>+$O$3</f>
        <v>1.0209999999999999</v>
      </c>
      <c r="P119" s="885">
        <f t="shared" si="26"/>
        <v>1.032</v>
      </c>
      <c r="Q119" s="886">
        <f t="shared" si="27"/>
        <v>1.0349999999999999</v>
      </c>
      <c r="R119" s="889">
        <f t="shared" si="1"/>
        <v>1.3319480854780448</v>
      </c>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row>
    <row r="120" spans="1:247">
      <c r="A120" s="4">
        <v>5303</v>
      </c>
      <c r="B120" s="9" t="s">
        <v>130</v>
      </c>
      <c r="C120" s="10" t="s">
        <v>8</v>
      </c>
      <c r="D120" s="878" t="s">
        <v>2342</v>
      </c>
      <c r="E120" s="885">
        <f>+$E$3</f>
        <v>1.0740000000000001</v>
      </c>
      <c r="F120" s="880">
        <f t="shared" si="0"/>
        <v>1.0209999999999999</v>
      </c>
      <c r="G120" s="886">
        <f t="shared" si="28"/>
        <v>1.0269999999999999</v>
      </c>
      <c r="H120" s="885">
        <f>+$H$3</f>
        <v>1.0029999999999999</v>
      </c>
      <c r="I120" s="887">
        <f>+$I$3</f>
        <v>1.0289999999999999</v>
      </c>
      <c r="J120" s="887">
        <f>+$J$3</f>
        <v>1.0049999999999999</v>
      </c>
      <c r="K120" s="887">
        <f>+$K$3</f>
        <v>1.026</v>
      </c>
      <c r="L120" s="887">
        <f>+$L$3</f>
        <v>1.0129999999999999</v>
      </c>
      <c r="M120" s="887">
        <f>+$M$3</f>
        <v>1.0029999999999999</v>
      </c>
      <c r="N120" s="886">
        <f>+$N$3</f>
        <v>1.0029999999999999</v>
      </c>
      <c r="O120" s="888">
        <f>+$O$3</f>
        <v>1.0209999999999999</v>
      </c>
      <c r="P120" s="885">
        <f t="shared" si="26"/>
        <v>1.032</v>
      </c>
      <c r="Q120" s="886">
        <f t="shared" si="27"/>
        <v>1.0349999999999999</v>
      </c>
      <c r="R120" s="889">
        <f t="shared" si="1"/>
        <v>1.3319480854780448</v>
      </c>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row>
    <row r="121" spans="1:247">
      <c r="A121" s="4">
        <v>5304</v>
      </c>
      <c r="B121" s="9" t="s">
        <v>131</v>
      </c>
      <c r="C121" s="10" t="s">
        <v>8</v>
      </c>
      <c r="D121" s="878" t="s">
        <v>2342</v>
      </c>
      <c r="E121" s="885">
        <f>+$E$3</f>
        <v>1.0740000000000001</v>
      </c>
      <c r="F121" s="880">
        <f t="shared" si="0"/>
        <v>1.0209999999999999</v>
      </c>
      <c r="G121" s="886">
        <f t="shared" si="28"/>
        <v>1.0269999999999999</v>
      </c>
      <c r="H121" s="885">
        <f>+$H$3</f>
        <v>1.0029999999999999</v>
      </c>
      <c r="I121" s="887">
        <f>+$I$3</f>
        <v>1.0289999999999999</v>
      </c>
      <c r="J121" s="887">
        <f>+$J$3</f>
        <v>1.0049999999999999</v>
      </c>
      <c r="K121" s="887">
        <f>+$K$3</f>
        <v>1.026</v>
      </c>
      <c r="L121" s="887">
        <f>+$L$3</f>
        <v>1.0129999999999999</v>
      </c>
      <c r="M121" s="887">
        <f>+$M$3</f>
        <v>1.0029999999999999</v>
      </c>
      <c r="N121" s="886">
        <f>+$N$3</f>
        <v>1.0029999999999999</v>
      </c>
      <c r="O121" s="888">
        <f>+$O$3</f>
        <v>1.0209999999999999</v>
      </c>
      <c r="P121" s="885">
        <f t="shared" si="26"/>
        <v>1.032</v>
      </c>
      <c r="Q121" s="886">
        <f t="shared" si="27"/>
        <v>1.0349999999999999</v>
      </c>
      <c r="R121" s="889">
        <f t="shared" si="1"/>
        <v>1.3319480854780448</v>
      </c>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row>
    <row r="122" spans="1:247">
      <c r="A122" s="4">
        <v>5306</v>
      </c>
      <c r="B122" s="9" t="s">
        <v>132</v>
      </c>
      <c r="C122" s="10" t="s">
        <v>8</v>
      </c>
      <c r="D122" s="878" t="s">
        <v>2342</v>
      </c>
      <c r="E122" s="885">
        <f>+$E$3</f>
        <v>1.0740000000000001</v>
      </c>
      <c r="F122" s="880">
        <f t="shared" si="0"/>
        <v>1.0209999999999999</v>
      </c>
      <c r="G122" s="886">
        <f t="shared" si="28"/>
        <v>1.0269999999999999</v>
      </c>
      <c r="H122" s="885">
        <f>+$H$3</f>
        <v>1.0029999999999999</v>
      </c>
      <c r="I122" s="887">
        <f>+$I$3</f>
        <v>1.0289999999999999</v>
      </c>
      <c r="J122" s="887">
        <f>+$J$3</f>
        <v>1.0049999999999999</v>
      </c>
      <c r="K122" s="887"/>
      <c r="L122" s="887">
        <f>+$L$3</f>
        <v>1.0129999999999999</v>
      </c>
      <c r="M122" s="887">
        <f>+$M$3</f>
        <v>1.0029999999999999</v>
      </c>
      <c r="N122" s="886">
        <f>+$N$3</f>
        <v>1.0029999999999999</v>
      </c>
      <c r="O122" s="888">
        <f>+$O$3</f>
        <v>1.0209999999999999</v>
      </c>
      <c r="P122" s="885">
        <f t="shared" si="26"/>
        <v>1.032</v>
      </c>
      <c r="Q122" s="886">
        <f t="shared" si="27"/>
        <v>1.0349999999999999</v>
      </c>
      <c r="R122" s="889">
        <f t="shared" si="1"/>
        <v>1.2981950150858137</v>
      </c>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row>
    <row r="123" spans="1:247">
      <c r="A123" s="4">
        <v>5307</v>
      </c>
      <c r="B123" s="9" t="s">
        <v>133</v>
      </c>
      <c r="C123" s="10" t="s">
        <v>8</v>
      </c>
      <c r="D123" s="878" t="s">
        <v>2342</v>
      </c>
      <c r="E123" s="885"/>
      <c r="F123" s="880">
        <f t="shared" si="0"/>
        <v>1.0209999999999999</v>
      </c>
      <c r="G123" s="886">
        <f t="shared" si="28"/>
        <v>1.0269999999999999</v>
      </c>
      <c r="H123" s="885"/>
      <c r="I123" s="887"/>
      <c r="J123" s="887"/>
      <c r="K123" s="887"/>
      <c r="L123" s="887"/>
      <c r="M123" s="887"/>
      <c r="N123" s="886"/>
      <c r="O123" s="888"/>
      <c r="P123" s="885">
        <f t="shared" si="26"/>
        <v>1.032</v>
      </c>
      <c r="Q123" s="886">
        <f t="shared" si="27"/>
        <v>1.0349999999999999</v>
      </c>
      <c r="R123" s="889">
        <f t="shared" si="1"/>
        <v>1.1199953840399997</v>
      </c>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row>
    <row r="124" spans="1:247">
      <c r="A124" s="4">
        <v>6103</v>
      </c>
      <c r="B124" s="9" t="s">
        <v>134</v>
      </c>
      <c r="C124" s="10" t="s">
        <v>8</v>
      </c>
      <c r="D124" s="878" t="s">
        <v>2342</v>
      </c>
      <c r="E124" s="885"/>
      <c r="F124" s="880">
        <f t="shared" si="0"/>
        <v>1.0209999999999999</v>
      </c>
      <c r="G124" s="886">
        <f t="shared" si="28"/>
        <v>1.0269999999999999</v>
      </c>
      <c r="H124" s="885">
        <f>+$H$3</f>
        <v>1.0029999999999999</v>
      </c>
      <c r="I124" s="887">
        <f>+$I$3</f>
        <v>1.0289999999999999</v>
      </c>
      <c r="J124" s="887">
        <f>+$J$3</f>
        <v>1.0049999999999999</v>
      </c>
      <c r="K124" s="887"/>
      <c r="L124" s="887"/>
      <c r="M124" s="887"/>
      <c r="N124" s="886"/>
      <c r="O124" s="888">
        <f>+$O$3</f>
        <v>1.0209999999999999</v>
      </c>
      <c r="P124" s="885">
        <f t="shared" si="26"/>
        <v>1.032</v>
      </c>
      <c r="Q124" s="886">
        <f t="shared" si="27"/>
        <v>1.0349999999999999</v>
      </c>
      <c r="R124" s="889">
        <f t="shared" si="1"/>
        <v>1.1861082984327833</v>
      </c>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row>
    <row r="125" spans="1:247">
      <c r="A125" s="4">
        <v>6107</v>
      </c>
      <c r="B125" s="9" t="s">
        <v>2512</v>
      </c>
      <c r="C125" s="10" t="s">
        <v>8</v>
      </c>
      <c r="D125" s="878" t="s">
        <v>2342</v>
      </c>
      <c r="E125" s="885">
        <f>+$E$3</f>
        <v>1.0740000000000001</v>
      </c>
      <c r="F125" s="880">
        <f t="shared" si="0"/>
        <v>1.0209999999999999</v>
      </c>
      <c r="G125" s="886">
        <f t="shared" si="28"/>
        <v>1.0269999999999999</v>
      </c>
      <c r="H125" s="885">
        <f>+$H$3</f>
        <v>1.0029999999999999</v>
      </c>
      <c r="I125" s="887">
        <f>+$I$3</f>
        <v>1.0289999999999999</v>
      </c>
      <c r="J125" s="887">
        <f>+$J$3</f>
        <v>1.0049999999999999</v>
      </c>
      <c r="K125" s="887">
        <f>+$K$3</f>
        <v>1.026</v>
      </c>
      <c r="L125" s="887">
        <f>+$L$3</f>
        <v>1.0129999999999999</v>
      </c>
      <c r="M125" s="887">
        <f>+$M$3</f>
        <v>1.0029999999999999</v>
      </c>
      <c r="N125" s="886">
        <f>+$N$3</f>
        <v>1.0029999999999999</v>
      </c>
      <c r="O125" s="888">
        <f>+$O$3</f>
        <v>1.0209999999999999</v>
      </c>
      <c r="P125" s="885">
        <f t="shared" si="26"/>
        <v>1.032</v>
      </c>
      <c r="Q125" s="886">
        <f t="shared" si="27"/>
        <v>1.0349999999999999</v>
      </c>
      <c r="R125" s="889">
        <f>PRODUCT(E125:Q125)</f>
        <v>1.3319480854780448</v>
      </c>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row>
    <row r="126" spans="1:247">
      <c r="A126" s="4">
        <v>6900</v>
      </c>
      <c r="B126" s="9" t="s">
        <v>135</v>
      </c>
      <c r="C126" s="10" t="s">
        <v>10</v>
      </c>
      <c r="D126" s="878" t="s">
        <v>2340</v>
      </c>
      <c r="E126" s="885"/>
      <c r="F126" s="880">
        <f t="shared" si="0"/>
        <v>1.0209999999999999</v>
      </c>
      <c r="G126" s="886"/>
      <c r="H126" s="885"/>
      <c r="I126" s="887"/>
      <c r="J126" s="887"/>
      <c r="K126" s="887"/>
      <c r="L126" s="887"/>
      <c r="M126" s="887"/>
      <c r="N126" s="886"/>
      <c r="O126" s="888"/>
      <c r="P126" s="885"/>
      <c r="Q126" s="886"/>
      <c r="R126" s="889">
        <f t="shared" si="1"/>
        <v>1.0209999999999999</v>
      </c>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row>
    <row r="127" spans="1:247">
      <c r="A127" s="4">
        <v>7120</v>
      </c>
      <c r="B127" s="9" t="s">
        <v>136</v>
      </c>
      <c r="C127" s="10" t="s">
        <v>8</v>
      </c>
      <c r="D127" s="878" t="s">
        <v>2342</v>
      </c>
      <c r="E127" s="885"/>
      <c r="F127" s="880">
        <f t="shared" si="0"/>
        <v>1.0209999999999999</v>
      </c>
      <c r="G127" s="886"/>
      <c r="H127" s="885"/>
      <c r="I127" s="887"/>
      <c r="J127" s="887"/>
      <c r="K127" s="887"/>
      <c r="L127" s="887"/>
      <c r="M127" s="887"/>
      <c r="N127" s="886"/>
      <c r="O127" s="888"/>
      <c r="P127" s="885"/>
      <c r="Q127" s="886"/>
      <c r="R127" s="889">
        <f t="shared" si="1"/>
        <v>1.0209999999999999</v>
      </c>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row>
    <row r="128" spans="1:247">
      <c r="A128" s="4">
        <v>7130</v>
      </c>
      <c r="B128" s="9" t="s">
        <v>137</v>
      </c>
      <c r="C128" s="10" t="s">
        <v>3</v>
      </c>
      <c r="D128" s="878" t="s">
        <v>2341</v>
      </c>
      <c r="E128" s="885"/>
      <c r="F128" s="880">
        <f t="shared" si="0"/>
        <v>1.0209999999999999</v>
      </c>
      <c r="G128" s="886"/>
      <c r="H128" s="885"/>
      <c r="I128" s="887"/>
      <c r="J128" s="887"/>
      <c r="K128" s="887"/>
      <c r="L128" s="887"/>
      <c r="M128" s="887"/>
      <c r="N128" s="886"/>
      <c r="O128" s="888"/>
      <c r="P128" s="885"/>
      <c r="Q128" s="886"/>
      <c r="R128" s="889">
        <f t="shared" si="1"/>
        <v>1.0209999999999999</v>
      </c>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row>
    <row r="129" spans="1:247">
      <c r="A129" s="4">
        <v>7141</v>
      </c>
      <c r="B129" s="9" t="s">
        <v>138</v>
      </c>
      <c r="C129" s="10" t="s">
        <v>8</v>
      </c>
      <c r="D129" s="878" t="s">
        <v>2342</v>
      </c>
      <c r="E129" s="885"/>
      <c r="F129" s="880">
        <f t="shared" ref="F129:F195" si="29">+$F$3</f>
        <v>1.0209999999999999</v>
      </c>
      <c r="G129" s="886"/>
      <c r="H129" s="885"/>
      <c r="I129" s="887"/>
      <c r="J129" s="887"/>
      <c r="K129" s="887"/>
      <c r="L129" s="887"/>
      <c r="M129" s="887"/>
      <c r="N129" s="886"/>
      <c r="O129" s="888"/>
      <c r="P129" s="885">
        <f>+$P$3</f>
        <v>1.032</v>
      </c>
      <c r="Q129" s="886">
        <f>+$Q$3</f>
        <v>1.0349999999999999</v>
      </c>
      <c r="R129" s="889">
        <f t="shared" ref="R129:R195" si="30">PRODUCT(E129:Q129)</f>
        <v>1.0905505199999999</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row>
    <row r="130" spans="1:247">
      <c r="A130" s="4">
        <v>7142</v>
      </c>
      <c r="B130" s="9" t="s">
        <v>139</v>
      </c>
      <c r="C130" s="10" t="s">
        <v>8</v>
      </c>
      <c r="D130" s="878" t="s">
        <v>2342</v>
      </c>
      <c r="E130" s="885"/>
      <c r="F130" s="880">
        <f t="shared" si="29"/>
        <v>1.0209999999999999</v>
      </c>
      <c r="G130" s="886"/>
      <c r="H130" s="885"/>
      <c r="I130" s="887"/>
      <c r="J130" s="887"/>
      <c r="K130" s="887"/>
      <c r="L130" s="887"/>
      <c r="M130" s="887"/>
      <c r="N130" s="886"/>
      <c r="O130" s="888"/>
      <c r="P130" s="885"/>
      <c r="Q130" s="886"/>
      <c r="R130" s="889">
        <f t="shared" si="30"/>
        <v>1.0209999999999999</v>
      </c>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row>
    <row r="131" spans="1:247">
      <c r="A131" s="4">
        <v>7143</v>
      </c>
      <c r="B131" s="9" t="s">
        <v>140</v>
      </c>
      <c r="C131" s="10" t="s">
        <v>8</v>
      </c>
      <c r="D131" s="878" t="s">
        <v>2342</v>
      </c>
      <c r="E131" s="885"/>
      <c r="F131" s="880">
        <f t="shared" si="29"/>
        <v>1.0209999999999999</v>
      </c>
      <c r="G131" s="886"/>
      <c r="H131" s="885"/>
      <c r="I131" s="887"/>
      <c r="J131" s="887"/>
      <c r="K131" s="887"/>
      <c r="L131" s="887"/>
      <c r="M131" s="887"/>
      <c r="N131" s="886"/>
      <c r="O131" s="888"/>
      <c r="P131" s="885"/>
      <c r="Q131" s="886"/>
      <c r="R131" s="889">
        <f t="shared" si="30"/>
        <v>1.0209999999999999</v>
      </c>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row>
    <row r="132" spans="1:247">
      <c r="A132" s="4">
        <v>7145</v>
      </c>
      <c r="B132" s="9" t="s">
        <v>141</v>
      </c>
      <c r="C132" s="10" t="s">
        <v>8</v>
      </c>
      <c r="D132" s="878" t="s">
        <v>2342</v>
      </c>
      <c r="E132" s="885"/>
      <c r="F132" s="880">
        <f t="shared" si="29"/>
        <v>1.0209999999999999</v>
      </c>
      <c r="G132" s="886"/>
      <c r="H132" s="885"/>
      <c r="I132" s="887"/>
      <c r="J132" s="887"/>
      <c r="K132" s="887"/>
      <c r="L132" s="887"/>
      <c r="M132" s="887"/>
      <c r="N132" s="886"/>
      <c r="O132" s="888"/>
      <c r="P132" s="885"/>
      <c r="Q132" s="886"/>
      <c r="R132" s="889">
        <f t="shared" si="30"/>
        <v>1.0209999999999999</v>
      </c>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row>
    <row r="133" spans="1:247">
      <c r="A133" s="4">
        <v>7147</v>
      </c>
      <c r="B133" s="9" t="s">
        <v>142</v>
      </c>
      <c r="C133" s="10" t="s">
        <v>8</v>
      </c>
      <c r="D133" s="878" t="s">
        <v>2340</v>
      </c>
      <c r="E133" s="885"/>
      <c r="F133" s="880">
        <f t="shared" si="29"/>
        <v>1.0209999999999999</v>
      </c>
      <c r="G133" s="886"/>
      <c r="H133" s="885"/>
      <c r="I133" s="887"/>
      <c r="J133" s="887"/>
      <c r="K133" s="887"/>
      <c r="L133" s="887"/>
      <c r="M133" s="887"/>
      <c r="N133" s="886"/>
      <c r="O133" s="888"/>
      <c r="P133" s="885">
        <f>+$P$3</f>
        <v>1.032</v>
      </c>
      <c r="Q133" s="886">
        <f>+$Q$3</f>
        <v>1.0349999999999999</v>
      </c>
      <c r="R133" s="889">
        <f t="shared" si="30"/>
        <v>1.0905505199999999</v>
      </c>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row>
    <row r="134" spans="1:247">
      <c r="A134" s="4">
        <v>7215</v>
      </c>
      <c r="B134" s="9" t="s">
        <v>143</v>
      </c>
      <c r="C134" s="10" t="s">
        <v>8</v>
      </c>
      <c r="D134" s="878" t="s">
        <v>2342</v>
      </c>
      <c r="E134" s="885">
        <f>+$E$3</f>
        <v>1.0740000000000001</v>
      </c>
      <c r="F134" s="880">
        <f t="shared" si="29"/>
        <v>1.0209999999999999</v>
      </c>
      <c r="G134" s="886">
        <f>+$G$3</f>
        <v>1.0269999999999999</v>
      </c>
      <c r="H134" s="885">
        <f>+$H$3</f>
        <v>1.0029999999999999</v>
      </c>
      <c r="I134" s="887">
        <f>+$I$3</f>
        <v>1.0289999999999999</v>
      </c>
      <c r="J134" s="887">
        <f>+$J$3</f>
        <v>1.0049999999999999</v>
      </c>
      <c r="K134" s="887">
        <f>+$K$3</f>
        <v>1.026</v>
      </c>
      <c r="L134" s="887">
        <f>+$L$3</f>
        <v>1.0129999999999999</v>
      </c>
      <c r="M134" s="887">
        <f>+$M$3</f>
        <v>1.0029999999999999</v>
      </c>
      <c r="N134" s="886">
        <f>+$N$3</f>
        <v>1.0029999999999999</v>
      </c>
      <c r="O134" s="888">
        <f>+$O$3</f>
        <v>1.0209999999999999</v>
      </c>
      <c r="P134" s="885">
        <f>+$P$3</f>
        <v>1.032</v>
      </c>
      <c r="Q134" s="886">
        <f>+$Q$3</f>
        <v>1.0349999999999999</v>
      </c>
      <c r="R134" s="889">
        <f t="shared" si="30"/>
        <v>1.3319480854780448</v>
      </c>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row>
    <row r="135" spans="1:247">
      <c r="A135" s="4">
        <v>7231</v>
      </c>
      <c r="B135" s="9" t="s">
        <v>144</v>
      </c>
      <c r="C135" s="10" t="s">
        <v>8</v>
      </c>
      <c r="D135" s="878" t="s">
        <v>2342</v>
      </c>
      <c r="E135" s="885">
        <f>+$E$3</f>
        <v>1.0740000000000001</v>
      </c>
      <c r="F135" s="880">
        <f t="shared" si="29"/>
        <v>1.0209999999999999</v>
      </c>
      <c r="G135" s="886">
        <f>+$G$3</f>
        <v>1.0269999999999999</v>
      </c>
      <c r="H135" s="885"/>
      <c r="I135" s="887"/>
      <c r="J135" s="887"/>
      <c r="K135" s="887"/>
      <c r="L135" s="887"/>
      <c r="M135" s="887">
        <f>+$M$3</f>
        <v>1.0029999999999999</v>
      </c>
      <c r="N135" s="886"/>
      <c r="O135" s="888"/>
      <c r="P135" s="885"/>
      <c r="Q135" s="886">
        <f>+$Q$3</f>
        <v>1.0349999999999999</v>
      </c>
      <c r="R135" s="889">
        <f t="shared" si="30"/>
        <v>1.1690733213045894</v>
      </c>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row>
    <row r="136" spans="1:247">
      <c r="A136" s="4">
        <v>7232</v>
      </c>
      <c r="B136" s="9" t="s">
        <v>145</v>
      </c>
      <c r="C136" s="10" t="s">
        <v>8</v>
      </c>
      <c r="D136" s="878" t="s">
        <v>2342</v>
      </c>
      <c r="E136" s="885"/>
      <c r="F136" s="880">
        <f t="shared" si="29"/>
        <v>1.0209999999999999</v>
      </c>
      <c r="G136" s="886"/>
      <c r="H136" s="885">
        <f>+$H$3</f>
        <v>1.0029999999999999</v>
      </c>
      <c r="I136" s="887"/>
      <c r="J136" s="887"/>
      <c r="K136" s="887"/>
      <c r="L136" s="887"/>
      <c r="M136" s="887"/>
      <c r="N136" s="886"/>
      <c r="O136" s="888"/>
      <c r="P136" s="885">
        <f>+$P$3</f>
        <v>1.032</v>
      </c>
      <c r="Q136" s="886">
        <f>+$Q$3</f>
        <v>1.0349999999999999</v>
      </c>
      <c r="R136" s="889">
        <f t="shared" si="30"/>
        <v>1.0938221715599996</v>
      </c>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row>
    <row r="137" spans="1:247">
      <c r="A137" s="4">
        <v>7233</v>
      </c>
      <c r="B137" s="9" t="s">
        <v>146</v>
      </c>
      <c r="C137" s="10" t="s">
        <v>8</v>
      </c>
      <c r="D137" s="878" t="s">
        <v>2342</v>
      </c>
      <c r="E137" s="885"/>
      <c r="F137" s="880">
        <f t="shared" si="29"/>
        <v>1.0209999999999999</v>
      </c>
      <c r="G137" s="886">
        <f>+$G$3</f>
        <v>1.0269999999999999</v>
      </c>
      <c r="H137" s="885">
        <f>+$H$3</f>
        <v>1.0029999999999999</v>
      </c>
      <c r="I137" s="887"/>
      <c r="J137" s="887">
        <f>+$J$3</f>
        <v>1.0049999999999999</v>
      </c>
      <c r="K137" s="887"/>
      <c r="L137" s="887"/>
      <c r="M137" s="887"/>
      <c r="N137" s="886"/>
      <c r="O137" s="888"/>
      <c r="P137" s="885"/>
      <c r="Q137" s="886"/>
      <c r="R137" s="889">
        <f t="shared" si="30"/>
        <v>1.0569712645049996</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row>
    <row r="138" spans="1:247">
      <c r="A138" s="4">
        <v>7234</v>
      </c>
      <c r="B138" s="9" t="s">
        <v>147</v>
      </c>
      <c r="C138" s="10" t="s">
        <v>8</v>
      </c>
      <c r="D138" s="878" t="s">
        <v>2342</v>
      </c>
      <c r="E138" s="885"/>
      <c r="F138" s="880">
        <f t="shared" si="29"/>
        <v>1.0209999999999999</v>
      </c>
      <c r="G138" s="886">
        <f>+$G$3</f>
        <v>1.0269999999999999</v>
      </c>
      <c r="H138" s="885"/>
      <c r="I138" s="887"/>
      <c r="J138" s="887"/>
      <c r="K138" s="887">
        <f>+$K$3</f>
        <v>1.026</v>
      </c>
      <c r="L138" s="887">
        <f>+$L$3</f>
        <v>1.0129999999999999</v>
      </c>
      <c r="M138" s="887"/>
      <c r="N138" s="886">
        <f>+$N$3</f>
        <v>1.0029999999999999</v>
      </c>
      <c r="O138" s="888"/>
      <c r="P138" s="885">
        <f>+$P$3</f>
        <v>1.032</v>
      </c>
      <c r="Q138" s="886">
        <f>+$Q$3</f>
        <v>1.0349999999999999</v>
      </c>
      <c r="R138" s="889">
        <f t="shared" si="30"/>
        <v>1.1675459237447372</v>
      </c>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row>
    <row r="139" spans="1:247">
      <c r="A139" s="4">
        <v>7235</v>
      </c>
      <c r="B139" s="9" t="s">
        <v>148</v>
      </c>
      <c r="C139" s="10" t="s">
        <v>10</v>
      </c>
      <c r="D139" s="878" t="s">
        <v>2340</v>
      </c>
      <c r="E139" s="885"/>
      <c r="F139" s="880">
        <f t="shared" si="29"/>
        <v>1.0209999999999999</v>
      </c>
      <c r="G139" s="886"/>
      <c r="H139" s="885"/>
      <c r="I139" s="887"/>
      <c r="J139" s="887"/>
      <c r="K139" s="887"/>
      <c r="L139" s="887"/>
      <c r="M139" s="887"/>
      <c r="N139" s="886"/>
      <c r="O139" s="888"/>
      <c r="P139" s="885"/>
      <c r="Q139" s="886"/>
      <c r="R139" s="889">
        <f t="shared" si="30"/>
        <v>1.0209999999999999</v>
      </c>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row>
    <row r="140" spans="1:247">
      <c r="A140" s="4">
        <v>7241</v>
      </c>
      <c r="B140" s="9" t="s">
        <v>149</v>
      </c>
      <c r="C140" s="10" t="s">
        <v>8</v>
      </c>
      <c r="D140" s="878" t="s">
        <v>2342</v>
      </c>
      <c r="E140" s="885">
        <f t="shared" ref="E140:E145" si="31">+$E$3</f>
        <v>1.0740000000000001</v>
      </c>
      <c r="F140" s="880">
        <f t="shared" si="29"/>
        <v>1.0209999999999999</v>
      </c>
      <c r="G140" s="886">
        <f t="shared" ref="G140:G147" si="32">+$G$3</f>
        <v>1.0269999999999999</v>
      </c>
      <c r="H140" s="885">
        <f t="shared" ref="H140:H147" si="33">+$H$3</f>
        <v>1.0029999999999999</v>
      </c>
      <c r="I140" s="887">
        <f t="shared" ref="I140:I147" si="34">+$I$3</f>
        <v>1.0289999999999999</v>
      </c>
      <c r="J140" s="887">
        <f t="shared" ref="J140:J147" si="35">+$J$3</f>
        <v>1.0049999999999999</v>
      </c>
      <c r="K140" s="887">
        <f t="shared" ref="K140:K145" si="36">+$K$3</f>
        <v>1.026</v>
      </c>
      <c r="L140" s="887">
        <f t="shared" ref="L140:L147" si="37">+$L$3</f>
        <v>1.0129999999999999</v>
      </c>
      <c r="M140" s="887">
        <f t="shared" ref="M140:M147" si="38">+$M$3</f>
        <v>1.0029999999999999</v>
      </c>
      <c r="N140" s="886">
        <f t="shared" ref="N140:N147" si="39">+$N$3</f>
        <v>1.0029999999999999</v>
      </c>
      <c r="O140" s="888">
        <f t="shared" ref="O140:O145" si="40">+$O$3</f>
        <v>1.0209999999999999</v>
      </c>
      <c r="P140" s="885">
        <f t="shared" ref="P140:P147" si="41">+$P$3</f>
        <v>1.032</v>
      </c>
      <c r="Q140" s="886">
        <f t="shared" ref="Q140:Q147" si="42">+$Q$3</f>
        <v>1.0349999999999999</v>
      </c>
      <c r="R140" s="889">
        <f t="shared" si="30"/>
        <v>1.3319480854780448</v>
      </c>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row>
    <row r="141" spans="1:247">
      <c r="A141" s="4">
        <v>7242</v>
      </c>
      <c r="B141" s="9" t="s">
        <v>150</v>
      </c>
      <c r="C141" s="10" t="s">
        <v>8</v>
      </c>
      <c r="D141" s="878" t="s">
        <v>2342</v>
      </c>
      <c r="E141" s="885">
        <f t="shared" si="31"/>
        <v>1.0740000000000001</v>
      </c>
      <c r="F141" s="880">
        <f t="shared" si="29"/>
        <v>1.0209999999999999</v>
      </c>
      <c r="G141" s="886">
        <f t="shared" si="32"/>
        <v>1.0269999999999999</v>
      </c>
      <c r="H141" s="885">
        <f t="shared" si="33"/>
        <v>1.0029999999999999</v>
      </c>
      <c r="I141" s="887">
        <f t="shared" si="34"/>
        <v>1.0289999999999999</v>
      </c>
      <c r="J141" s="887">
        <f t="shared" si="35"/>
        <v>1.0049999999999999</v>
      </c>
      <c r="K141" s="887">
        <f t="shared" si="36"/>
        <v>1.026</v>
      </c>
      <c r="L141" s="887">
        <f t="shared" si="37"/>
        <v>1.0129999999999999</v>
      </c>
      <c r="M141" s="887">
        <f t="shared" si="38"/>
        <v>1.0029999999999999</v>
      </c>
      <c r="N141" s="886">
        <f t="shared" si="39"/>
        <v>1.0029999999999999</v>
      </c>
      <c r="O141" s="888">
        <f t="shared" si="40"/>
        <v>1.0209999999999999</v>
      </c>
      <c r="P141" s="885">
        <f t="shared" si="41"/>
        <v>1.032</v>
      </c>
      <c r="Q141" s="886">
        <f t="shared" si="42"/>
        <v>1.0349999999999999</v>
      </c>
      <c r="R141" s="889">
        <f t="shared" si="30"/>
        <v>1.3319480854780448</v>
      </c>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row>
    <row r="142" spans="1:247">
      <c r="A142" s="4">
        <v>7250</v>
      </c>
      <c r="B142" s="9" t="s">
        <v>151</v>
      </c>
      <c r="C142" s="10" t="s">
        <v>8</v>
      </c>
      <c r="D142" s="878" t="s">
        <v>2342</v>
      </c>
      <c r="E142" s="885">
        <f t="shared" si="31"/>
        <v>1.0740000000000001</v>
      </c>
      <c r="F142" s="880">
        <f t="shared" si="29"/>
        <v>1.0209999999999999</v>
      </c>
      <c r="G142" s="886">
        <f t="shared" si="32"/>
        <v>1.0269999999999999</v>
      </c>
      <c r="H142" s="885">
        <f t="shared" si="33"/>
        <v>1.0029999999999999</v>
      </c>
      <c r="I142" s="887">
        <f t="shared" si="34"/>
        <v>1.0289999999999999</v>
      </c>
      <c r="J142" s="887">
        <f t="shared" si="35"/>
        <v>1.0049999999999999</v>
      </c>
      <c r="K142" s="887">
        <f t="shared" si="36"/>
        <v>1.026</v>
      </c>
      <c r="L142" s="887">
        <f t="shared" si="37"/>
        <v>1.0129999999999999</v>
      </c>
      <c r="M142" s="887">
        <f t="shared" si="38"/>
        <v>1.0029999999999999</v>
      </c>
      <c r="N142" s="886">
        <f t="shared" si="39"/>
        <v>1.0029999999999999</v>
      </c>
      <c r="O142" s="888">
        <f t="shared" si="40"/>
        <v>1.0209999999999999</v>
      </c>
      <c r="P142" s="885">
        <f t="shared" si="41"/>
        <v>1.032</v>
      </c>
      <c r="Q142" s="886">
        <f t="shared" si="42"/>
        <v>1.0349999999999999</v>
      </c>
      <c r="R142" s="889">
        <f t="shared" si="30"/>
        <v>1.3319480854780448</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row>
    <row r="143" spans="1:247">
      <c r="A143" s="4">
        <v>7312</v>
      </c>
      <c r="B143" s="9" t="s">
        <v>152</v>
      </c>
      <c r="C143" s="10" t="s">
        <v>8</v>
      </c>
      <c r="D143" s="878" t="s">
        <v>2342</v>
      </c>
      <c r="E143" s="885">
        <f t="shared" si="31"/>
        <v>1.0740000000000001</v>
      </c>
      <c r="F143" s="880">
        <f t="shared" si="29"/>
        <v>1.0209999999999999</v>
      </c>
      <c r="G143" s="886">
        <f t="shared" si="32"/>
        <v>1.0269999999999999</v>
      </c>
      <c r="H143" s="885">
        <f t="shared" si="33"/>
        <v>1.0029999999999999</v>
      </c>
      <c r="I143" s="887">
        <f t="shared" si="34"/>
        <v>1.0289999999999999</v>
      </c>
      <c r="J143" s="887">
        <f t="shared" si="35"/>
        <v>1.0049999999999999</v>
      </c>
      <c r="K143" s="887">
        <f t="shared" si="36"/>
        <v>1.026</v>
      </c>
      <c r="L143" s="887">
        <f t="shared" si="37"/>
        <v>1.0129999999999999</v>
      </c>
      <c r="M143" s="887">
        <f t="shared" si="38"/>
        <v>1.0029999999999999</v>
      </c>
      <c r="N143" s="886">
        <f t="shared" si="39"/>
        <v>1.0029999999999999</v>
      </c>
      <c r="O143" s="888">
        <f t="shared" si="40"/>
        <v>1.0209999999999999</v>
      </c>
      <c r="P143" s="885">
        <f t="shared" si="41"/>
        <v>1.032</v>
      </c>
      <c r="Q143" s="886">
        <f t="shared" si="42"/>
        <v>1.0349999999999999</v>
      </c>
      <c r="R143" s="889">
        <f t="shared" si="30"/>
        <v>1.3319480854780448</v>
      </c>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row>
    <row r="144" spans="1:247">
      <c r="A144" s="4">
        <v>7313</v>
      </c>
      <c r="B144" s="9" t="s">
        <v>153</v>
      </c>
      <c r="C144" s="10" t="s">
        <v>8</v>
      </c>
      <c r="D144" s="878" t="s">
        <v>2342</v>
      </c>
      <c r="E144" s="885">
        <f t="shared" si="31"/>
        <v>1.0740000000000001</v>
      </c>
      <c r="F144" s="880">
        <f t="shared" si="29"/>
        <v>1.0209999999999999</v>
      </c>
      <c r="G144" s="886">
        <f t="shared" si="32"/>
        <v>1.0269999999999999</v>
      </c>
      <c r="H144" s="885">
        <f t="shared" si="33"/>
        <v>1.0029999999999999</v>
      </c>
      <c r="I144" s="887">
        <f t="shared" si="34"/>
        <v>1.0289999999999999</v>
      </c>
      <c r="J144" s="887">
        <f t="shared" si="35"/>
        <v>1.0049999999999999</v>
      </c>
      <c r="K144" s="887">
        <f t="shared" si="36"/>
        <v>1.026</v>
      </c>
      <c r="L144" s="887">
        <f t="shared" si="37"/>
        <v>1.0129999999999999</v>
      </c>
      <c r="M144" s="887">
        <f t="shared" si="38"/>
        <v>1.0029999999999999</v>
      </c>
      <c r="N144" s="886">
        <f t="shared" si="39"/>
        <v>1.0029999999999999</v>
      </c>
      <c r="O144" s="888">
        <f t="shared" si="40"/>
        <v>1.0209999999999999</v>
      </c>
      <c r="P144" s="885">
        <f t="shared" si="41"/>
        <v>1.032</v>
      </c>
      <c r="Q144" s="886">
        <f t="shared" si="42"/>
        <v>1.0349999999999999</v>
      </c>
      <c r="R144" s="889">
        <f t="shared" si="30"/>
        <v>1.3319480854780448</v>
      </c>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row>
    <row r="145" spans="1:247">
      <c r="A145" s="4">
        <v>7314</v>
      </c>
      <c r="B145" s="9" t="s">
        <v>154</v>
      </c>
      <c r="C145" s="10" t="s">
        <v>8</v>
      </c>
      <c r="D145" s="878" t="s">
        <v>2342</v>
      </c>
      <c r="E145" s="885">
        <f t="shared" si="31"/>
        <v>1.0740000000000001</v>
      </c>
      <c r="F145" s="880">
        <f t="shared" si="29"/>
        <v>1.0209999999999999</v>
      </c>
      <c r="G145" s="886">
        <f t="shared" si="32"/>
        <v>1.0269999999999999</v>
      </c>
      <c r="H145" s="885">
        <f t="shared" si="33"/>
        <v>1.0029999999999999</v>
      </c>
      <c r="I145" s="887">
        <f t="shared" si="34"/>
        <v>1.0289999999999999</v>
      </c>
      <c r="J145" s="887">
        <f t="shared" si="35"/>
        <v>1.0049999999999999</v>
      </c>
      <c r="K145" s="887">
        <f t="shared" si="36"/>
        <v>1.026</v>
      </c>
      <c r="L145" s="887">
        <f t="shared" si="37"/>
        <v>1.0129999999999999</v>
      </c>
      <c r="M145" s="887">
        <f t="shared" si="38"/>
        <v>1.0029999999999999</v>
      </c>
      <c r="N145" s="886">
        <f t="shared" si="39"/>
        <v>1.0029999999999999</v>
      </c>
      <c r="O145" s="888">
        <f t="shared" si="40"/>
        <v>1.0209999999999999</v>
      </c>
      <c r="P145" s="885">
        <f t="shared" si="41"/>
        <v>1.032</v>
      </c>
      <c r="Q145" s="886">
        <f t="shared" si="42"/>
        <v>1.0349999999999999</v>
      </c>
      <c r="R145" s="889">
        <f t="shared" si="30"/>
        <v>1.3319480854780448</v>
      </c>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row>
    <row r="146" spans="1:247">
      <c r="A146" s="4">
        <v>7321</v>
      </c>
      <c r="B146" s="9" t="s">
        <v>155</v>
      </c>
      <c r="C146" s="10" t="s">
        <v>8</v>
      </c>
      <c r="D146" s="878" t="s">
        <v>2342</v>
      </c>
      <c r="E146" s="885"/>
      <c r="F146" s="880">
        <f t="shared" si="29"/>
        <v>1.0209999999999999</v>
      </c>
      <c r="G146" s="886">
        <f t="shared" si="32"/>
        <v>1.0269999999999999</v>
      </c>
      <c r="H146" s="885">
        <f t="shared" si="33"/>
        <v>1.0029999999999999</v>
      </c>
      <c r="I146" s="887">
        <f t="shared" si="34"/>
        <v>1.0289999999999999</v>
      </c>
      <c r="J146" s="887">
        <f t="shared" si="35"/>
        <v>1.0049999999999999</v>
      </c>
      <c r="K146" s="887"/>
      <c r="L146" s="887">
        <f t="shared" si="37"/>
        <v>1.0129999999999999</v>
      </c>
      <c r="M146" s="887">
        <f t="shared" si="38"/>
        <v>1.0029999999999999</v>
      </c>
      <c r="N146" s="886">
        <f t="shared" si="39"/>
        <v>1.0029999999999999</v>
      </c>
      <c r="O146" s="888"/>
      <c r="P146" s="885">
        <f t="shared" si="41"/>
        <v>1.032</v>
      </c>
      <c r="Q146" s="886">
        <f t="shared" si="42"/>
        <v>1.0349999999999999</v>
      </c>
      <c r="R146" s="889">
        <f t="shared" si="30"/>
        <v>1.1838860786480316</v>
      </c>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row>
    <row r="147" spans="1:247">
      <c r="A147" s="4">
        <v>7322</v>
      </c>
      <c r="B147" s="9" t="s">
        <v>156</v>
      </c>
      <c r="C147" s="10" t="s">
        <v>8</v>
      </c>
      <c r="D147" s="878" t="s">
        <v>2342</v>
      </c>
      <c r="E147" s="885"/>
      <c r="F147" s="880">
        <f t="shared" si="29"/>
        <v>1.0209999999999999</v>
      </c>
      <c r="G147" s="886">
        <f t="shared" si="32"/>
        <v>1.0269999999999999</v>
      </c>
      <c r="H147" s="885">
        <f t="shared" si="33"/>
        <v>1.0029999999999999</v>
      </c>
      <c r="I147" s="887">
        <f t="shared" si="34"/>
        <v>1.0289999999999999</v>
      </c>
      <c r="J147" s="887">
        <f t="shared" si="35"/>
        <v>1.0049999999999999</v>
      </c>
      <c r="K147" s="887"/>
      <c r="L147" s="887">
        <f t="shared" si="37"/>
        <v>1.0129999999999999</v>
      </c>
      <c r="M147" s="887">
        <f t="shared" si="38"/>
        <v>1.0029999999999999</v>
      </c>
      <c r="N147" s="886">
        <f t="shared" si="39"/>
        <v>1.0029999999999999</v>
      </c>
      <c r="O147" s="888"/>
      <c r="P147" s="885">
        <f t="shared" si="41"/>
        <v>1.032</v>
      </c>
      <c r="Q147" s="886">
        <f t="shared" si="42"/>
        <v>1.0349999999999999</v>
      </c>
      <c r="R147" s="889">
        <f t="shared" si="30"/>
        <v>1.1838860786480316</v>
      </c>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row>
    <row r="148" spans="1:247">
      <c r="A148" s="4">
        <v>7323</v>
      </c>
      <c r="B148" s="9" t="s">
        <v>157</v>
      </c>
      <c r="C148" s="10" t="s">
        <v>8</v>
      </c>
      <c r="D148" s="878" t="s">
        <v>2342</v>
      </c>
      <c r="E148" s="885"/>
      <c r="F148" s="880">
        <f t="shared" si="29"/>
        <v>1.0209999999999999</v>
      </c>
      <c r="G148" s="886"/>
      <c r="H148" s="885"/>
      <c r="I148" s="887"/>
      <c r="J148" s="887"/>
      <c r="K148" s="887"/>
      <c r="L148" s="887"/>
      <c r="M148" s="887"/>
      <c r="N148" s="886"/>
      <c r="O148" s="888"/>
      <c r="P148" s="885"/>
      <c r="Q148" s="886"/>
      <c r="R148" s="889">
        <f t="shared" si="30"/>
        <v>1.0209999999999999</v>
      </c>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row>
    <row r="149" spans="1:247">
      <c r="A149" s="4">
        <v>7331</v>
      </c>
      <c r="B149" s="9" t="s">
        <v>158</v>
      </c>
      <c r="C149" s="10" t="s">
        <v>8</v>
      </c>
      <c r="D149" s="878" t="s">
        <v>2342</v>
      </c>
      <c r="E149" s="885">
        <f>+$E$3</f>
        <v>1.0740000000000001</v>
      </c>
      <c r="F149" s="880">
        <f t="shared" si="29"/>
        <v>1.0209999999999999</v>
      </c>
      <c r="G149" s="886">
        <f>+$G$3</f>
        <v>1.0269999999999999</v>
      </c>
      <c r="H149" s="885"/>
      <c r="I149" s="887"/>
      <c r="J149" s="887">
        <f>+$J$3</f>
        <v>1.0049999999999999</v>
      </c>
      <c r="K149" s="887">
        <f>+$K$3</f>
        <v>1.026</v>
      </c>
      <c r="L149" s="887">
        <f>+$L$3</f>
        <v>1.0129999999999999</v>
      </c>
      <c r="M149" s="887">
        <f>+$M$3</f>
        <v>1.0029999999999999</v>
      </c>
      <c r="N149" s="886">
        <f t="shared" ref="N149:N160" si="43">+$N$3</f>
        <v>1.0029999999999999</v>
      </c>
      <c r="O149" s="888">
        <f>+$O$3</f>
        <v>1.0209999999999999</v>
      </c>
      <c r="P149" s="885">
        <f>+$P$3</f>
        <v>1.032</v>
      </c>
      <c r="Q149" s="886">
        <f>+$Q$3</f>
        <v>1.0349999999999999</v>
      </c>
      <c r="R149" s="889">
        <f t="shared" si="30"/>
        <v>1.290538574246207</v>
      </c>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row>
    <row r="150" spans="1:247">
      <c r="A150" s="4">
        <v>7333</v>
      </c>
      <c r="B150" s="9" t="s">
        <v>159</v>
      </c>
      <c r="C150" s="10" t="s">
        <v>8</v>
      </c>
      <c r="D150" s="878" t="s">
        <v>2342</v>
      </c>
      <c r="E150" s="885">
        <f>+$E$3</f>
        <v>1.0740000000000001</v>
      </c>
      <c r="F150" s="880">
        <f t="shared" si="29"/>
        <v>1.0209999999999999</v>
      </c>
      <c r="G150" s="886">
        <f>+$G$3</f>
        <v>1.0269999999999999</v>
      </c>
      <c r="H150" s="885">
        <f>+$H$3</f>
        <v>1.0029999999999999</v>
      </c>
      <c r="I150" s="887">
        <f>+$I$3</f>
        <v>1.0289999999999999</v>
      </c>
      <c r="J150" s="887">
        <f>+$J$3</f>
        <v>1.0049999999999999</v>
      </c>
      <c r="K150" s="887">
        <f>+$K$3</f>
        <v>1.026</v>
      </c>
      <c r="L150" s="887">
        <f>+$L$3</f>
        <v>1.0129999999999999</v>
      </c>
      <c r="M150" s="887">
        <f>+$M$3</f>
        <v>1.0029999999999999</v>
      </c>
      <c r="N150" s="886">
        <f t="shared" si="43"/>
        <v>1.0029999999999999</v>
      </c>
      <c r="O150" s="888">
        <f>+$O$3</f>
        <v>1.0209999999999999</v>
      </c>
      <c r="P150" s="885">
        <f>+$P$3</f>
        <v>1.032</v>
      </c>
      <c r="Q150" s="886">
        <f>+$Q$3</f>
        <v>1.0349999999999999</v>
      </c>
      <c r="R150" s="889">
        <f t="shared" si="30"/>
        <v>1.3319480854780448</v>
      </c>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row>
    <row r="151" spans="1:247">
      <c r="A151" s="4">
        <v>7340</v>
      </c>
      <c r="B151" s="9" t="s">
        <v>160</v>
      </c>
      <c r="C151" s="10" t="s">
        <v>8</v>
      </c>
      <c r="D151" s="878" t="s">
        <v>2342</v>
      </c>
      <c r="E151" s="885"/>
      <c r="F151" s="880">
        <f t="shared" si="29"/>
        <v>1.0209999999999999</v>
      </c>
      <c r="G151" s="886"/>
      <c r="H151" s="885"/>
      <c r="I151" s="887"/>
      <c r="J151" s="887">
        <f>+$J$3</f>
        <v>1.0049999999999999</v>
      </c>
      <c r="K151" s="887"/>
      <c r="L151" s="887"/>
      <c r="M151" s="887"/>
      <c r="N151" s="886">
        <f t="shared" si="43"/>
        <v>1.0029999999999999</v>
      </c>
      <c r="O151" s="888"/>
      <c r="P151" s="885"/>
      <c r="Q151" s="886"/>
      <c r="R151" s="889">
        <f t="shared" si="30"/>
        <v>1.0291833149999998</v>
      </c>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row>
    <row r="152" spans="1:247">
      <c r="A152" s="4">
        <v>7341</v>
      </c>
      <c r="B152" s="9" t="s">
        <v>161</v>
      </c>
      <c r="C152" s="10" t="s">
        <v>8</v>
      </c>
      <c r="D152" s="878" t="s">
        <v>2342</v>
      </c>
      <c r="E152" s="885"/>
      <c r="F152" s="880">
        <f t="shared" si="29"/>
        <v>1.0209999999999999</v>
      </c>
      <c r="G152" s="886"/>
      <c r="H152" s="885">
        <f>+$H$3</f>
        <v>1.0029999999999999</v>
      </c>
      <c r="I152" s="887">
        <f>+$I$3</f>
        <v>1.0289999999999999</v>
      </c>
      <c r="J152" s="887">
        <f>+$J$3</f>
        <v>1.0049999999999999</v>
      </c>
      <c r="K152" s="887"/>
      <c r="L152" s="887"/>
      <c r="M152" s="887"/>
      <c r="N152" s="886">
        <f t="shared" si="43"/>
        <v>1.0029999999999999</v>
      </c>
      <c r="O152" s="888"/>
      <c r="P152" s="885">
        <f t="shared" ref="P152:P160" si="44">+$P$3</f>
        <v>1.032</v>
      </c>
      <c r="Q152" s="886">
        <f t="shared" ref="Q152:Q160" si="45">+$Q$3</f>
        <v>1.0349999999999999</v>
      </c>
      <c r="R152" s="889">
        <f t="shared" si="30"/>
        <v>1.1345642417967394</v>
      </c>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row>
    <row r="153" spans="1:247">
      <c r="A153" s="4">
        <v>7342</v>
      </c>
      <c r="B153" s="9" t="s">
        <v>162</v>
      </c>
      <c r="C153" s="10" t="s">
        <v>8</v>
      </c>
      <c r="D153" s="878" t="s">
        <v>2342</v>
      </c>
      <c r="E153" s="885"/>
      <c r="F153" s="880">
        <f t="shared" si="29"/>
        <v>1.0209999999999999</v>
      </c>
      <c r="G153" s="886"/>
      <c r="H153" s="885"/>
      <c r="I153" s="887"/>
      <c r="J153" s="887"/>
      <c r="K153" s="887"/>
      <c r="L153" s="887">
        <f>+$L$3</f>
        <v>1.0129999999999999</v>
      </c>
      <c r="M153" s="887">
        <f>+$M$3</f>
        <v>1.0029999999999999</v>
      </c>
      <c r="N153" s="886">
        <f t="shared" si="43"/>
        <v>1.0029999999999999</v>
      </c>
      <c r="O153" s="888"/>
      <c r="P153" s="885">
        <f t="shared" si="44"/>
        <v>1.032</v>
      </c>
      <c r="Q153" s="886">
        <f t="shared" si="45"/>
        <v>1.0349999999999999</v>
      </c>
      <c r="R153" s="889">
        <f t="shared" si="30"/>
        <v>1.1113659853696505</v>
      </c>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row>
    <row r="154" spans="1:247">
      <c r="A154" s="4">
        <v>7344</v>
      </c>
      <c r="B154" s="9" t="s">
        <v>163</v>
      </c>
      <c r="C154" s="10" t="s">
        <v>8</v>
      </c>
      <c r="D154" s="878" t="s">
        <v>2342</v>
      </c>
      <c r="E154" s="885">
        <f>+$E$3</f>
        <v>1.0740000000000001</v>
      </c>
      <c r="F154" s="880">
        <f t="shared" si="29"/>
        <v>1.0209999999999999</v>
      </c>
      <c r="G154" s="886">
        <f>+$G$3</f>
        <v>1.0269999999999999</v>
      </c>
      <c r="H154" s="885">
        <f>+$H$3</f>
        <v>1.0029999999999999</v>
      </c>
      <c r="I154" s="887">
        <f>+$I$3</f>
        <v>1.0289999999999999</v>
      </c>
      <c r="J154" s="887">
        <f>+$J$3</f>
        <v>1.0049999999999999</v>
      </c>
      <c r="K154" s="887">
        <f>+$K$3</f>
        <v>1.026</v>
      </c>
      <c r="L154" s="887">
        <f>+$L$3</f>
        <v>1.0129999999999999</v>
      </c>
      <c r="M154" s="887">
        <f>+$M$3</f>
        <v>1.0029999999999999</v>
      </c>
      <c r="N154" s="886">
        <f t="shared" si="43"/>
        <v>1.0029999999999999</v>
      </c>
      <c r="O154" s="888">
        <f>+$O$3</f>
        <v>1.0209999999999999</v>
      </c>
      <c r="P154" s="885">
        <f t="shared" si="44"/>
        <v>1.032</v>
      </c>
      <c r="Q154" s="886">
        <f t="shared" si="45"/>
        <v>1.0349999999999999</v>
      </c>
      <c r="R154" s="889">
        <f t="shared" si="30"/>
        <v>1.3319480854780448</v>
      </c>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row>
    <row r="155" spans="1:247">
      <c r="A155" s="4">
        <v>7345</v>
      </c>
      <c r="B155" s="9" t="s">
        <v>164</v>
      </c>
      <c r="C155" s="10" t="s">
        <v>8</v>
      </c>
      <c r="D155" s="878" t="s">
        <v>2342</v>
      </c>
      <c r="E155" s="885"/>
      <c r="F155" s="880">
        <f t="shared" si="29"/>
        <v>1.0209999999999999</v>
      </c>
      <c r="G155" s="886">
        <f>+$G$3</f>
        <v>1.0269999999999999</v>
      </c>
      <c r="H155" s="885">
        <f>+$H$3</f>
        <v>1.0029999999999999</v>
      </c>
      <c r="I155" s="887">
        <f>+$I$3</f>
        <v>1.0289999999999999</v>
      </c>
      <c r="J155" s="887">
        <f>+$J$3</f>
        <v>1.0049999999999999</v>
      </c>
      <c r="K155" s="887"/>
      <c r="L155" s="887"/>
      <c r="M155" s="887"/>
      <c r="N155" s="886">
        <f t="shared" si="43"/>
        <v>1.0029999999999999</v>
      </c>
      <c r="O155" s="888"/>
      <c r="P155" s="885">
        <f t="shared" si="44"/>
        <v>1.032</v>
      </c>
      <c r="Q155" s="886">
        <f t="shared" si="45"/>
        <v>1.0349999999999999</v>
      </c>
      <c r="R155" s="889">
        <f t="shared" si="30"/>
        <v>1.1651974763252515</v>
      </c>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row>
    <row r="156" spans="1:247">
      <c r="A156" s="4">
        <v>7346</v>
      </c>
      <c r="B156" s="9" t="s">
        <v>165</v>
      </c>
      <c r="C156" s="10" t="s">
        <v>8</v>
      </c>
      <c r="D156" s="878" t="s">
        <v>2342</v>
      </c>
      <c r="E156" s="885"/>
      <c r="F156" s="880">
        <f t="shared" si="29"/>
        <v>1.0209999999999999</v>
      </c>
      <c r="G156" s="886">
        <f>+$G$3</f>
        <v>1.0269999999999999</v>
      </c>
      <c r="H156" s="885">
        <f>+$H$3</f>
        <v>1.0029999999999999</v>
      </c>
      <c r="I156" s="887">
        <f>+$I$3</f>
        <v>1.0289999999999999</v>
      </c>
      <c r="J156" s="887">
        <f>+$J$3</f>
        <v>1.0049999999999999</v>
      </c>
      <c r="K156" s="887">
        <f>+$K$3</f>
        <v>1.026</v>
      </c>
      <c r="L156" s="887">
        <f>+$L$3</f>
        <v>1.0129999999999999</v>
      </c>
      <c r="M156" s="887">
        <f>+$M$3</f>
        <v>1.0029999999999999</v>
      </c>
      <c r="N156" s="886">
        <f t="shared" si="43"/>
        <v>1.0029999999999999</v>
      </c>
      <c r="O156" s="888"/>
      <c r="P156" s="885">
        <f t="shared" si="44"/>
        <v>1.032</v>
      </c>
      <c r="Q156" s="886">
        <f t="shared" si="45"/>
        <v>1.0349999999999999</v>
      </c>
      <c r="R156" s="889">
        <f t="shared" si="30"/>
        <v>1.2146671166928804</v>
      </c>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row>
    <row r="157" spans="1:247">
      <c r="A157" s="4">
        <v>7347</v>
      </c>
      <c r="B157" s="9" t="s">
        <v>166</v>
      </c>
      <c r="C157" s="10" t="s">
        <v>8</v>
      </c>
      <c r="D157" s="878" t="s">
        <v>2342</v>
      </c>
      <c r="E157" s="885">
        <f>+$E$3</f>
        <v>1.0740000000000001</v>
      </c>
      <c r="F157" s="880">
        <f t="shared" si="29"/>
        <v>1.0209999999999999</v>
      </c>
      <c r="G157" s="886">
        <f>+$G$3</f>
        <v>1.0269999999999999</v>
      </c>
      <c r="H157" s="885">
        <f>+$H$3</f>
        <v>1.0029999999999999</v>
      </c>
      <c r="I157" s="887">
        <f>+$I$3</f>
        <v>1.0289999999999999</v>
      </c>
      <c r="J157" s="887">
        <f>+$J$3</f>
        <v>1.0049999999999999</v>
      </c>
      <c r="K157" s="887">
        <f>+$K$3</f>
        <v>1.026</v>
      </c>
      <c r="L157" s="887"/>
      <c r="M157" s="887">
        <f>+$M$3</f>
        <v>1.0029999999999999</v>
      </c>
      <c r="N157" s="886">
        <f t="shared" si="43"/>
        <v>1.0029999999999999</v>
      </c>
      <c r="O157" s="888">
        <f>+$O$3</f>
        <v>1.0209999999999999</v>
      </c>
      <c r="P157" s="885">
        <f t="shared" si="44"/>
        <v>1.032</v>
      </c>
      <c r="Q157" s="886">
        <f t="shared" si="45"/>
        <v>1.0349999999999999</v>
      </c>
      <c r="R157" s="889">
        <f t="shared" si="30"/>
        <v>1.3148549708569053</v>
      </c>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row>
    <row r="158" spans="1:247">
      <c r="A158" s="4">
        <v>7348</v>
      </c>
      <c r="B158" s="9" t="s">
        <v>167</v>
      </c>
      <c r="C158" s="10" t="s">
        <v>8</v>
      </c>
      <c r="D158" s="878" t="s">
        <v>2342</v>
      </c>
      <c r="E158" s="885"/>
      <c r="F158" s="880">
        <f t="shared" si="29"/>
        <v>1.0209999999999999</v>
      </c>
      <c r="G158" s="886"/>
      <c r="H158" s="885"/>
      <c r="I158" s="887"/>
      <c r="J158" s="887"/>
      <c r="K158" s="887"/>
      <c r="L158" s="887">
        <f>+$L$3</f>
        <v>1.0129999999999999</v>
      </c>
      <c r="M158" s="887"/>
      <c r="N158" s="886">
        <f t="shared" si="43"/>
        <v>1.0029999999999999</v>
      </c>
      <c r="O158" s="888"/>
      <c r="P158" s="885">
        <f t="shared" si="44"/>
        <v>1.032</v>
      </c>
      <c r="Q158" s="886">
        <f t="shared" si="45"/>
        <v>1.0349999999999999</v>
      </c>
      <c r="R158" s="889">
        <f t="shared" si="30"/>
        <v>1.1080418597902797</v>
      </c>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row>
    <row r="159" spans="1:247">
      <c r="A159" s="4">
        <v>7349</v>
      </c>
      <c r="B159" s="9" t="s">
        <v>168</v>
      </c>
      <c r="C159" s="10" t="s">
        <v>8</v>
      </c>
      <c r="D159" s="878" t="s">
        <v>2342</v>
      </c>
      <c r="E159" s="885">
        <f>+$E$3</f>
        <v>1.0740000000000001</v>
      </c>
      <c r="F159" s="880">
        <f t="shared" si="29"/>
        <v>1.0209999999999999</v>
      </c>
      <c r="G159" s="886">
        <f>+$G$3</f>
        <v>1.0269999999999999</v>
      </c>
      <c r="H159" s="885">
        <f>+$H$3</f>
        <v>1.0029999999999999</v>
      </c>
      <c r="I159" s="887">
        <f>+$I$3</f>
        <v>1.0289999999999999</v>
      </c>
      <c r="J159" s="887">
        <f>+$J$3</f>
        <v>1.0049999999999999</v>
      </c>
      <c r="K159" s="887"/>
      <c r="L159" s="887">
        <f>+$L$3</f>
        <v>1.0129999999999999</v>
      </c>
      <c r="M159" s="887">
        <f>+$M$3</f>
        <v>1.0029999999999999</v>
      </c>
      <c r="N159" s="886">
        <f t="shared" si="43"/>
        <v>1.0029999999999999</v>
      </c>
      <c r="O159" s="888">
        <f>+$O$3</f>
        <v>1.0209999999999999</v>
      </c>
      <c r="P159" s="885">
        <f t="shared" si="44"/>
        <v>1.032</v>
      </c>
      <c r="Q159" s="886">
        <f t="shared" si="45"/>
        <v>1.0349999999999999</v>
      </c>
      <c r="R159" s="889">
        <f t="shared" si="30"/>
        <v>1.2981950150858137</v>
      </c>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row>
    <row r="160" spans="1:247">
      <c r="A160" s="4">
        <v>7351</v>
      </c>
      <c r="B160" s="9" t="s">
        <v>169</v>
      </c>
      <c r="C160" s="10" t="s">
        <v>8</v>
      </c>
      <c r="D160" s="878" t="s">
        <v>2342</v>
      </c>
      <c r="E160" s="885">
        <f>+$E$3</f>
        <v>1.0740000000000001</v>
      </c>
      <c r="F160" s="880">
        <f t="shared" si="29"/>
        <v>1.0209999999999999</v>
      </c>
      <c r="G160" s="886">
        <f>+$G$3</f>
        <v>1.0269999999999999</v>
      </c>
      <c r="H160" s="885">
        <f>+$H$3</f>
        <v>1.0029999999999999</v>
      </c>
      <c r="I160" s="887">
        <f>+$I$3</f>
        <v>1.0289999999999999</v>
      </c>
      <c r="J160" s="887">
        <f>+$J$3</f>
        <v>1.0049999999999999</v>
      </c>
      <c r="K160" s="887">
        <f>+$K$3</f>
        <v>1.026</v>
      </c>
      <c r="L160" s="887">
        <f>+$L$3</f>
        <v>1.0129999999999999</v>
      </c>
      <c r="M160" s="887">
        <f>+$M$3</f>
        <v>1.0029999999999999</v>
      </c>
      <c r="N160" s="886">
        <f t="shared" si="43"/>
        <v>1.0029999999999999</v>
      </c>
      <c r="O160" s="888">
        <f>+$O$3</f>
        <v>1.0209999999999999</v>
      </c>
      <c r="P160" s="885">
        <f t="shared" si="44"/>
        <v>1.032</v>
      </c>
      <c r="Q160" s="886">
        <f t="shared" si="45"/>
        <v>1.0349999999999999</v>
      </c>
      <c r="R160" s="889">
        <f t="shared" si="30"/>
        <v>1.3319480854780448</v>
      </c>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row>
    <row r="161" spans="1:247">
      <c r="A161" s="4">
        <v>7354</v>
      </c>
      <c r="B161" s="9" t="s">
        <v>170</v>
      </c>
      <c r="C161" s="10" t="s">
        <v>10</v>
      </c>
      <c r="D161" s="878" t="s">
        <v>2340</v>
      </c>
      <c r="E161" s="885"/>
      <c r="F161" s="880">
        <f t="shared" si="29"/>
        <v>1.0209999999999999</v>
      </c>
      <c r="G161" s="886"/>
      <c r="H161" s="885"/>
      <c r="I161" s="887"/>
      <c r="J161" s="887"/>
      <c r="K161" s="887"/>
      <c r="L161" s="887"/>
      <c r="M161" s="887"/>
      <c r="N161" s="886"/>
      <c r="O161" s="888"/>
      <c r="P161" s="885"/>
      <c r="Q161" s="886"/>
      <c r="R161" s="889">
        <f t="shared" si="30"/>
        <v>1.0209999999999999</v>
      </c>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row>
    <row r="162" spans="1:247">
      <c r="A162" s="4">
        <v>7362</v>
      </c>
      <c r="B162" s="9" t="s">
        <v>171</v>
      </c>
      <c r="C162" s="10" t="s">
        <v>8</v>
      </c>
      <c r="D162" s="878" t="s">
        <v>2342</v>
      </c>
      <c r="E162" s="885">
        <f>+$E$3</f>
        <v>1.0740000000000001</v>
      </c>
      <c r="F162" s="880">
        <f t="shared" si="29"/>
        <v>1.0209999999999999</v>
      </c>
      <c r="G162" s="886">
        <f>+$G$3</f>
        <v>1.0269999999999999</v>
      </c>
      <c r="H162" s="885">
        <f>+$H$3</f>
        <v>1.0029999999999999</v>
      </c>
      <c r="I162" s="887">
        <f>+$I$3</f>
        <v>1.0289999999999999</v>
      </c>
      <c r="J162" s="887">
        <f>+$J$3</f>
        <v>1.0049999999999999</v>
      </c>
      <c r="K162" s="887">
        <f>+$K$3</f>
        <v>1.026</v>
      </c>
      <c r="L162" s="887">
        <f>+$L$3</f>
        <v>1.0129999999999999</v>
      </c>
      <c r="M162" s="887">
        <f>+$M$3</f>
        <v>1.0029999999999999</v>
      </c>
      <c r="N162" s="886">
        <f>+$N$3</f>
        <v>1.0029999999999999</v>
      </c>
      <c r="O162" s="888"/>
      <c r="P162" s="885">
        <f>+$P$3</f>
        <v>1.032</v>
      </c>
      <c r="Q162" s="886">
        <f>+$Q$3</f>
        <v>1.0349999999999999</v>
      </c>
      <c r="R162" s="889">
        <f t="shared" si="30"/>
        <v>1.3045524833281539</v>
      </c>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row>
    <row r="163" spans="1:247">
      <c r="A163" s="4">
        <v>7372</v>
      </c>
      <c r="B163" s="9" t="s">
        <v>172</v>
      </c>
      <c r="C163" s="10" t="s">
        <v>8</v>
      </c>
      <c r="D163" s="878" t="s">
        <v>2342</v>
      </c>
      <c r="E163" s="885">
        <f>+$E$3</f>
        <v>1.0740000000000001</v>
      </c>
      <c r="F163" s="880">
        <f t="shared" si="29"/>
        <v>1.0209999999999999</v>
      </c>
      <c r="G163" s="886">
        <f>+$G$3</f>
        <v>1.0269999999999999</v>
      </c>
      <c r="H163" s="885">
        <f>+$H$3</f>
        <v>1.0029999999999999</v>
      </c>
      <c r="I163" s="887">
        <f>+$I$3</f>
        <v>1.0289999999999999</v>
      </c>
      <c r="J163" s="887">
        <f>+$J$3</f>
        <v>1.0049999999999999</v>
      </c>
      <c r="K163" s="887">
        <f>+$K$3</f>
        <v>1.026</v>
      </c>
      <c r="L163" s="887">
        <f>+$L$3</f>
        <v>1.0129999999999999</v>
      </c>
      <c r="M163" s="887">
        <f>+$M$3</f>
        <v>1.0029999999999999</v>
      </c>
      <c r="N163" s="886">
        <f>+$N$3</f>
        <v>1.0029999999999999</v>
      </c>
      <c r="O163" s="888">
        <f>+$O$3</f>
        <v>1.0209999999999999</v>
      </c>
      <c r="P163" s="885">
        <f>+$P$3</f>
        <v>1.032</v>
      </c>
      <c r="Q163" s="886">
        <f>+$Q$3</f>
        <v>1.0349999999999999</v>
      </c>
      <c r="R163" s="889">
        <f t="shared" si="30"/>
        <v>1.3319480854780448</v>
      </c>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row>
    <row r="164" spans="1:247">
      <c r="A164" s="4">
        <v>7381</v>
      </c>
      <c r="B164" s="9" t="s">
        <v>173</v>
      </c>
      <c r="C164" s="10" t="s">
        <v>8</v>
      </c>
      <c r="D164" s="878" t="s">
        <v>2342</v>
      </c>
      <c r="E164" s="885"/>
      <c r="F164" s="880">
        <f t="shared" si="29"/>
        <v>1.0209999999999999</v>
      </c>
      <c r="G164" s="886"/>
      <c r="H164" s="885"/>
      <c r="I164" s="887"/>
      <c r="J164" s="887"/>
      <c r="K164" s="887"/>
      <c r="L164" s="887"/>
      <c r="M164" s="887"/>
      <c r="N164" s="886"/>
      <c r="O164" s="888"/>
      <c r="P164" s="885"/>
      <c r="Q164" s="886"/>
      <c r="R164" s="889">
        <f t="shared" si="30"/>
        <v>1.0209999999999999</v>
      </c>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row>
    <row r="165" spans="1:247">
      <c r="A165" s="4">
        <v>7382</v>
      </c>
      <c r="B165" s="9" t="s">
        <v>174</v>
      </c>
      <c r="C165" s="10" t="s">
        <v>8</v>
      </c>
      <c r="D165" s="878" t="s">
        <v>2342</v>
      </c>
      <c r="E165" s="885"/>
      <c r="F165" s="880">
        <f t="shared" si="29"/>
        <v>1.0209999999999999</v>
      </c>
      <c r="G165" s="886"/>
      <c r="H165" s="885"/>
      <c r="I165" s="887"/>
      <c r="J165" s="887"/>
      <c r="K165" s="887"/>
      <c r="L165" s="887"/>
      <c r="M165" s="887"/>
      <c r="N165" s="886"/>
      <c r="O165" s="888"/>
      <c r="P165" s="885"/>
      <c r="Q165" s="886"/>
      <c r="R165" s="889">
        <f t="shared" si="30"/>
        <v>1.0209999999999999</v>
      </c>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row>
    <row r="166" spans="1:247">
      <c r="A166" s="4">
        <v>7384</v>
      </c>
      <c r="B166" s="9" t="s">
        <v>2345</v>
      </c>
      <c r="C166" s="10" t="s">
        <v>8</v>
      </c>
      <c r="D166" s="878" t="s">
        <v>2340</v>
      </c>
      <c r="E166" s="885"/>
      <c r="F166" s="880">
        <f t="shared" si="29"/>
        <v>1.0209999999999999</v>
      </c>
      <c r="G166" s="886"/>
      <c r="H166" s="885"/>
      <c r="I166" s="887"/>
      <c r="J166" s="887"/>
      <c r="K166" s="887"/>
      <c r="L166" s="887"/>
      <c r="M166" s="887"/>
      <c r="N166" s="886"/>
      <c r="O166" s="888"/>
      <c r="P166" s="885"/>
      <c r="Q166" s="886"/>
      <c r="R166" s="889">
        <f t="shared" si="30"/>
        <v>1.0209999999999999</v>
      </c>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row>
    <row r="167" spans="1:247">
      <c r="A167" s="4">
        <v>7385</v>
      </c>
      <c r="B167" s="9" t="s">
        <v>175</v>
      </c>
      <c r="C167" s="10" t="s">
        <v>8</v>
      </c>
      <c r="D167" s="878" t="s">
        <v>2342</v>
      </c>
      <c r="E167" s="885">
        <f>+$E$3</f>
        <v>1.0740000000000001</v>
      </c>
      <c r="F167" s="880">
        <f t="shared" si="29"/>
        <v>1.0209999999999999</v>
      </c>
      <c r="G167" s="886"/>
      <c r="H167" s="885"/>
      <c r="I167" s="887"/>
      <c r="J167" s="887"/>
      <c r="K167" s="887"/>
      <c r="L167" s="887">
        <f>+$L$3</f>
        <v>1.0129999999999999</v>
      </c>
      <c r="M167" s="887"/>
      <c r="N167" s="886">
        <f>+$N$3</f>
        <v>1.0029999999999999</v>
      </c>
      <c r="O167" s="888"/>
      <c r="P167" s="885"/>
      <c r="Q167" s="886"/>
      <c r="R167" s="889">
        <f t="shared" si="30"/>
        <v>1.1141416296059998</v>
      </c>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row>
    <row r="168" spans="1:247">
      <c r="A168" s="4">
        <v>7386</v>
      </c>
      <c r="B168" s="9" t="s">
        <v>176</v>
      </c>
      <c r="C168" s="10" t="s">
        <v>8</v>
      </c>
      <c r="D168" s="878" t="s">
        <v>2342</v>
      </c>
      <c r="E168" s="885">
        <f>+$E$3</f>
        <v>1.0740000000000001</v>
      </c>
      <c r="F168" s="880">
        <f t="shared" si="29"/>
        <v>1.0209999999999999</v>
      </c>
      <c r="G168" s="886">
        <f>+$G$3</f>
        <v>1.0269999999999999</v>
      </c>
      <c r="H168" s="885">
        <f>+$H$3</f>
        <v>1.0029999999999999</v>
      </c>
      <c r="I168" s="887">
        <f>+$I$3</f>
        <v>1.0289999999999999</v>
      </c>
      <c r="J168" s="887">
        <f>+$J$3</f>
        <v>1.0049999999999999</v>
      </c>
      <c r="K168" s="887">
        <f>+$K$3</f>
        <v>1.026</v>
      </c>
      <c r="L168" s="887">
        <f>+$L$3</f>
        <v>1.0129999999999999</v>
      </c>
      <c r="M168" s="887">
        <f>+$M$3</f>
        <v>1.0029999999999999</v>
      </c>
      <c r="N168" s="886">
        <f>+$N$3</f>
        <v>1.0029999999999999</v>
      </c>
      <c r="O168" s="888">
        <f>+$O$3</f>
        <v>1.0209999999999999</v>
      </c>
      <c r="P168" s="885">
        <f>+$P$3</f>
        <v>1.032</v>
      </c>
      <c r="Q168" s="886">
        <f>+$Q$3</f>
        <v>1.0349999999999999</v>
      </c>
      <c r="R168" s="889">
        <f t="shared" si="30"/>
        <v>1.3319480854780448</v>
      </c>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row>
    <row r="169" spans="1:247">
      <c r="A169" s="4">
        <v>7387</v>
      </c>
      <c r="B169" s="9" t="s">
        <v>177</v>
      </c>
      <c r="C169" s="10" t="s">
        <v>8</v>
      </c>
      <c r="D169" s="878" t="s">
        <v>2342</v>
      </c>
      <c r="E169" s="885"/>
      <c r="F169" s="880">
        <f t="shared" si="29"/>
        <v>1.0209999999999999</v>
      </c>
      <c r="G169" s="886"/>
      <c r="H169" s="885"/>
      <c r="I169" s="887"/>
      <c r="J169" s="887"/>
      <c r="K169" s="887"/>
      <c r="L169" s="887"/>
      <c r="M169" s="887"/>
      <c r="N169" s="886"/>
      <c r="O169" s="888"/>
      <c r="P169" s="885"/>
      <c r="Q169" s="886"/>
      <c r="R169" s="889">
        <f t="shared" si="30"/>
        <v>1.0209999999999999</v>
      </c>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row>
    <row r="170" spans="1:247">
      <c r="A170" s="4">
        <v>7411</v>
      </c>
      <c r="B170" s="9" t="s">
        <v>178</v>
      </c>
      <c r="C170" s="10" t="s">
        <v>8</v>
      </c>
      <c r="D170" s="878" t="s">
        <v>2342</v>
      </c>
      <c r="E170" s="885"/>
      <c r="F170" s="880">
        <f t="shared" si="29"/>
        <v>1.0209999999999999</v>
      </c>
      <c r="G170" s="886"/>
      <c r="H170" s="885"/>
      <c r="I170" s="887"/>
      <c r="J170" s="887"/>
      <c r="K170" s="887"/>
      <c r="L170" s="887"/>
      <c r="M170" s="887"/>
      <c r="N170" s="886"/>
      <c r="O170" s="888"/>
      <c r="P170" s="885"/>
      <c r="Q170" s="886"/>
      <c r="R170" s="889">
        <f t="shared" si="30"/>
        <v>1.0209999999999999</v>
      </c>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row>
    <row r="171" spans="1:247">
      <c r="A171" s="4">
        <v>7412</v>
      </c>
      <c r="B171" s="9" t="s">
        <v>179</v>
      </c>
      <c r="C171" s="10" t="s">
        <v>8</v>
      </c>
      <c r="D171" s="878" t="s">
        <v>2342</v>
      </c>
      <c r="E171" s="885"/>
      <c r="F171" s="880">
        <f t="shared" si="29"/>
        <v>1.0209999999999999</v>
      </c>
      <c r="G171" s="886"/>
      <c r="H171" s="885">
        <f t="shared" ref="H171:H179" si="46">+$H$3</f>
        <v>1.0029999999999999</v>
      </c>
      <c r="I171" s="887"/>
      <c r="J171" s="887"/>
      <c r="K171" s="887"/>
      <c r="L171" s="887"/>
      <c r="M171" s="887"/>
      <c r="N171" s="886"/>
      <c r="O171" s="888"/>
      <c r="P171" s="885"/>
      <c r="Q171" s="886"/>
      <c r="R171" s="889">
        <f t="shared" si="30"/>
        <v>1.0240629999999997</v>
      </c>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row>
    <row r="172" spans="1:247">
      <c r="A172" s="4">
        <v>7413</v>
      </c>
      <c r="B172" s="9" t="s">
        <v>180</v>
      </c>
      <c r="C172" s="10" t="s">
        <v>8</v>
      </c>
      <c r="D172" s="878" t="s">
        <v>2342</v>
      </c>
      <c r="E172" s="885">
        <f>+$E$3</f>
        <v>1.0740000000000001</v>
      </c>
      <c r="F172" s="880">
        <f t="shared" si="29"/>
        <v>1.0209999999999999</v>
      </c>
      <c r="G172" s="886">
        <f t="shared" ref="G172:G181" si="47">+$G$3</f>
        <v>1.0269999999999999</v>
      </c>
      <c r="H172" s="885">
        <f t="shared" si="46"/>
        <v>1.0029999999999999</v>
      </c>
      <c r="I172" s="887">
        <f t="shared" ref="I172:I179" si="48">+$I$3</f>
        <v>1.0289999999999999</v>
      </c>
      <c r="J172" s="887">
        <f t="shared" ref="J172:J182" si="49">+$J$3</f>
        <v>1.0049999999999999</v>
      </c>
      <c r="K172" s="887">
        <f>+$K$3</f>
        <v>1.026</v>
      </c>
      <c r="L172" s="887">
        <f>+$L$3</f>
        <v>1.0129999999999999</v>
      </c>
      <c r="M172" s="887">
        <f>+$M$3</f>
        <v>1.0029999999999999</v>
      </c>
      <c r="N172" s="886">
        <f t="shared" ref="N172:N181" si="50">+$N$3</f>
        <v>1.0029999999999999</v>
      </c>
      <c r="O172" s="888">
        <f t="shared" ref="O172:O179" si="51">+$O$3</f>
        <v>1.0209999999999999</v>
      </c>
      <c r="P172" s="885">
        <f>+$P$3</f>
        <v>1.032</v>
      </c>
      <c r="Q172" s="886">
        <f>+$Q$3</f>
        <v>1.0349999999999999</v>
      </c>
      <c r="R172" s="889">
        <f t="shared" si="30"/>
        <v>1.3319480854780448</v>
      </c>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row>
    <row r="173" spans="1:247">
      <c r="A173" s="4">
        <v>7414</v>
      </c>
      <c r="B173" s="9" t="s">
        <v>181</v>
      </c>
      <c r="C173" s="10" t="s">
        <v>8</v>
      </c>
      <c r="D173" s="878" t="s">
        <v>2342</v>
      </c>
      <c r="E173" s="885">
        <f>+$E$3</f>
        <v>1.0740000000000001</v>
      </c>
      <c r="F173" s="880">
        <f t="shared" si="29"/>
        <v>1.0209999999999999</v>
      </c>
      <c r="G173" s="886">
        <f t="shared" si="47"/>
        <v>1.0269999999999999</v>
      </c>
      <c r="H173" s="885">
        <f t="shared" si="46"/>
        <v>1.0029999999999999</v>
      </c>
      <c r="I173" s="887">
        <f t="shared" si="48"/>
        <v>1.0289999999999999</v>
      </c>
      <c r="J173" s="887">
        <f t="shared" si="49"/>
        <v>1.0049999999999999</v>
      </c>
      <c r="K173" s="887">
        <f>+$K$3</f>
        <v>1.026</v>
      </c>
      <c r="L173" s="887">
        <f>+$L$3</f>
        <v>1.0129999999999999</v>
      </c>
      <c r="M173" s="887">
        <f>+$M$3</f>
        <v>1.0029999999999999</v>
      </c>
      <c r="N173" s="886">
        <f t="shared" si="50"/>
        <v>1.0029999999999999</v>
      </c>
      <c r="O173" s="888">
        <f t="shared" si="51"/>
        <v>1.0209999999999999</v>
      </c>
      <c r="P173" s="885"/>
      <c r="Q173" s="886"/>
      <c r="R173" s="889">
        <f t="shared" si="30"/>
        <v>1.2470022895162014</v>
      </c>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row>
    <row r="174" spans="1:247">
      <c r="A174" s="4">
        <v>7415</v>
      </c>
      <c r="B174" s="9" t="s">
        <v>182</v>
      </c>
      <c r="C174" s="10" t="s">
        <v>8</v>
      </c>
      <c r="D174" s="878" t="s">
        <v>2342</v>
      </c>
      <c r="E174" s="885">
        <f>+$E$3</f>
        <v>1.0740000000000001</v>
      </c>
      <c r="F174" s="880">
        <f t="shared" si="29"/>
        <v>1.0209999999999999</v>
      </c>
      <c r="G174" s="886">
        <f t="shared" si="47"/>
        <v>1.0269999999999999</v>
      </c>
      <c r="H174" s="885">
        <f t="shared" si="46"/>
        <v>1.0029999999999999</v>
      </c>
      <c r="I174" s="887">
        <f t="shared" si="48"/>
        <v>1.0289999999999999</v>
      </c>
      <c r="J174" s="887">
        <f t="shared" si="49"/>
        <v>1.0049999999999999</v>
      </c>
      <c r="K174" s="887"/>
      <c r="L174" s="887"/>
      <c r="M174" s="887">
        <f>+$M$3</f>
        <v>1.0029999999999999</v>
      </c>
      <c r="N174" s="886">
        <f t="shared" si="50"/>
        <v>1.0029999999999999</v>
      </c>
      <c r="O174" s="888">
        <f t="shared" si="51"/>
        <v>1.0209999999999999</v>
      </c>
      <c r="P174" s="885">
        <f t="shared" ref="P174:P181" si="52">+$P$3</f>
        <v>1.032</v>
      </c>
      <c r="Q174" s="886">
        <f t="shared" ref="Q174:Q181" si="53">+$Q$3</f>
        <v>1.0349999999999999</v>
      </c>
      <c r="R174" s="889">
        <f t="shared" si="30"/>
        <v>1.2815350593147223</v>
      </c>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row>
    <row r="175" spans="1:247">
      <c r="A175" s="4">
        <v>7416</v>
      </c>
      <c r="B175" s="9" t="s">
        <v>183</v>
      </c>
      <c r="C175" s="10" t="s">
        <v>8</v>
      </c>
      <c r="D175" s="878" t="s">
        <v>2342</v>
      </c>
      <c r="E175" s="885">
        <f>+$E$3</f>
        <v>1.0740000000000001</v>
      </c>
      <c r="F175" s="880">
        <f t="shared" si="29"/>
        <v>1.0209999999999999</v>
      </c>
      <c r="G175" s="886">
        <f t="shared" si="47"/>
        <v>1.0269999999999999</v>
      </c>
      <c r="H175" s="885">
        <f t="shared" si="46"/>
        <v>1.0029999999999999</v>
      </c>
      <c r="I175" s="887">
        <f t="shared" si="48"/>
        <v>1.0289999999999999</v>
      </c>
      <c r="J175" s="887">
        <f t="shared" si="49"/>
        <v>1.0049999999999999</v>
      </c>
      <c r="K175" s="887">
        <f>+$K$3</f>
        <v>1.026</v>
      </c>
      <c r="L175" s="887">
        <f>+$L$3</f>
        <v>1.0129999999999999</v>
      </c>
      <c r="M175" s="887">
        <f>+$M$3</f>
        <v>1.0029999999999999</v>
      </c>
      <c r="N175" s="886">
        <f t="shared" si="50"/>
        <v>1.0029999999999999</v>
      </c>
      <c r="O175" s="888">
        <f t="shared" si="51"/>
        <v>1.0209999999999999</v>
      </c>
      <c r="P175" s="885">
        <f t="shared" si="52"/>
        <v>1.032</v>
      </c>
      <c r="Q175" s="886">
        <f t="shared" si="53"/>
        <v>1.0349999999999999</v>
      </c>
      <c r="R175" s="889">
        <f t="shared" si="30"/>
        <v>1.3319480854780448</v>
      </c>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row>
    <row r="176" spans="1:247">
      <c r="A176" s="4">
        <v>7417</v>
      </c>
      <c r="B176" s="9" t="s">
        <v>184</v>
      </c>
      <c r="C176" s="10" t="s">
        <v>8</v>
      </c>
      <c r="D176" s="878" t="s">
        <v>2342</v>
      </c>
      <c r="E176" s="885">
        <f>+$E$3</f>
        <v>1.0740000000000001</v>
      </c>
      <c r="F176" s="880">
        <f t="shared" si="29"/>
        <v>1.0209999999999999</v>
      </c>
      <c r="G176" s="886">
        <f t="shared" si="47"/>
        <v>1.0269999999999999</v>
      </c>
      <c r="H176" s="885">
        <f t="shared" si="46"/>
        <v>1.0029999999999999</v>
      </c>
      <c r="I176" s="887">
        <f t="shared" si="48"/>
        <v>1.0289999999999999</v>
      </c>
      <c r="J176" s="887">
        <f t="shared" si="49"/>
        <v>1.0049999999999999</v>
      </c>
      <c r="K176" s="887"/>
      <c r="L176" s="887">
        <f>+$L$3</f>
        <v>1.0129999999999999</v>
      </c>
      <c r="M176" s="887">
        <f>+$M$3</f>
        <v>1.0029999999999999</v>
      </c>
      <c r="N176" s="886">
        <f t="shared" si="50"/>
        <v>1.0029999999999999</v>
      </c>
      <c r="O176" s="888">
        <f t="shared" si="51"/>
        <v>1.0209999999999999</v>
      </c>
      <c r="P176" s="885">
        <f t="shared" si="52"/>
        <v>1.032</v>
      </c>
      <c r="Q176" s="886">
        <f t="shared" si="53"/>
        <v>1.0349999999999999</v>
      </c>
      <c r="R176" s="889">
        <f t="shared" si="30"/>
        <v>1.2981950150858137</v>
      </c>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row>
    <row r="177" spans="1:247">
      <c r="A177" s="4">
        <v>7418</v>
      </c>
      <c r="B177" s="9" t="s">
        <v>185</v>
      </c>
      <c r="C177" s="10" t="s">
        <v>8</v>
      </c>
      <c r="D177" s="878" t="s">
        <v>2342</v>
      </c>
      <c r="E177" s="885"/>
      <c r="F177" s="880">
        <f t="shared" si="29"/>
        <v>1.0209999999999999</v>
      </c>
      <c r="G177" s="886">
        <f t="shared" si="47"/>
        <v>1.0269999999999999</v>
      </c>
      <c r="H177" s="885">
        <f t="shared" si="46"/>
        <v>1.0029999999999999</v>
      </c>
      <c r="I177" s="887">
        <f t="shared" si="48"/>
        <v>1.0289999999999999</v>
      </c>
      <c r="J177" s="887">
        <f t="shared" si="49"/>
        <v>1.0049999999999999</v>
      </c>
      <c r="K177" s="887"/>
      <c r="L177" s="887"/>
      <c r="M177" s="887"/>
      <c r="N177" s="886">
        <f t="shared" si="50"/>
        <v>1.0029999999999999</v>
      </c>
      <c r="O177" s="888">
        <f t="shared" si="51"/>
        <v>1.0209999999999999</v>
      </c>
      <c r="P177" s="885">
        <f t="shared" si="52"/>
        <v>1.032</v>
      </c>
      <c r="Q177" s="886">
        <f t="shared" si="53"/>
        <v>1.0349999999999999</v>
      </c>
      <c r="R177" s="889">
        <f t="shared" si="30"/>
        <v>1.1896666233280813</v>
      </c>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row>
    <row r="178" spans="1:247">
      <c r="A178" s="4">
        <v>7422</v>
      </c>
      <c r="B178" s="9" t="s">
        <v>186</v>
      </c>
      <c r="C178" s="10" t="s">
        <v>8</v>
      </c>
      <c r="D178" s="878" t="s">
        <v>2342</v>
      </c>
      <c r="E178" s="885"/>
      <c r="F178" s="880">
        <f t="shared" si="29"/>
        <v>1.0209999999999999</v>
      </c>
      <c r="G178" s="886">
        <f t="shared" si="47"/>
        <v>1.0269999999999999</v>
      </c>
      <c r="H178" s="885">
        <f t="shared" si="46"/>
        <v>1.0029999999999999</v>
      </c>
      <c r="I178" s="887">
        <f t="shared" si="48"/>
        <v>1.0289999999999999</v>
      </c>
      <c r="J178" s="887">
        <f t="shared" si="49"/>
        <v>1.0049999999999999</v>
      </c>
      <c r="K178" s="887"/>
      <c r="L178" s="887">
        <f>+$L$3</f>
        <v>1.0129999999999999</v>
      </c>
      <c r="M178" s="887"/>
      <c r="N178" s="886">
        <f t="shared" si="50"/>
        <v>1.0029999999999999</v>
      </c>
      <c r="O178" s="888">
        <f t="shared" si="51"/>
        <v>1.0209999999999999</v>
      </c>
      <c r="P178" s="885">
        <f t="shared" si="52"/>
        <v>1.032</v>
      </c>
      <c r="Q178" s="886">
        <f t="shared" si="53"/>
        <v>1.0349999999999999</v>
      </c>
      <c r="R178" s="889">
        <f t="shared" si="30"/>
        <v>1.2051322894313463</v>
      </c>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row>
    <row r="179" spans="1:247">
      <c r="A179" s="4">
        <v>7431</v>
      </c>
      <c r="B179" s="9" t="s">
        <v>187</v>
      </c>
      <c r="C179" s="10" t="s">
        <v>8</v>
      </c>
      <c r="D179" s="878" t="s">
        <v>2342</v>
      </c>
      <c r="E179" s="885">
        <f>+$E$3</f>
        <v>1.0740000000000001</v>
      </c>
      <c r="F179" s="880">
        <f t="shared" si="29"/>
        <v>1.0209999999999999</v>
      </c>
      <c r="G179" s="886">
        <f t="shared" si="47"/>
        <v>1.0269999999999999</v>
      </c>
      <c r="H179" s="885">
        <f t="shared" si="46"/>
        <v>1.0029999999999999</v>
      </c>
      <c r="I179" s="887">
        <f t="shared" si="48"/>
        <v>1.0289999999999999</v>
      </c>
      <c r="J179" s="887">
        <f t="shared" si="49"/>
        <v>1.0049999999999999</v>
      </c>
      <c r="K179" s="887">
        <f>+$K$3</f>
        <v>1.026</v>
      </c>
      <c r="L179" s="887"/>
      <c r="M179" s="887">
        <f>+$M$3</f>
        <v>1.0029999999999999</v>
      </c>
      <c r="N179" s="886">
        <f t="shared" si="50"/>
        <v>1.0029999999999999</v>
      </c>
      <c r="O179" s="888">
        <f t="shared" si="51"/>
        <v>1.0209999999999999</v>
      </c>
      <c r="P179" s="885">
        <f t="shared" si="52"/>
        <v>1.032</v>
      </c>
      <c r="Q179" s="886">
        <f t="shared" si="53"/>
        <v>1.0349999999999999</v>
      </c>
      <c r="R179" s="889">
        <f t="shared" si="30"/>
        <v>1.3148549708569053</v>
      </c>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row>
    <row r="180" spans="1:247">
      <c r="A180" s="4">
        <v>7440</v>
      </c>
      <c r="B180" s="9" t="s">
        <v>2346</v>
      </c>
      <c r="C180" s="10" t="s">
        <v>8</v>
      </c>
      <c r="D180" s="878" t="s">
        <v>2342</v>
      </c>
      <c r="E180" s="885">
        <v>1.0740000000000001</v>
      </c>
      <c r="F180" s="880">
        <v>1.0209999999999999</v>
      </c>
      <c r="G180" s="886">
        <v>1.0269999999999999</v>
      </c>
      <c r="H180" s="885">
        <v>1.0029999999999999</v>
      </c>
      <c r="I180" s="887">
        <v>1.0289999999999999</v>
      </c>
      <c r="J180" s="887">
        <v>1.0049999999999999</v>
      </c>
      <c r="K180" s="887">
        <v>1.026</v>
      </c>
      <c r="L180" s="887"/>
      <c r="M180" s="887">
        <v>1.0029999999999999</v>
      </c>
      <c r="N180" s="886">
        <v>1.0029999999999999</v>
      </c>
      <c r="O180" s="888">
        <v>1.0209999999999999</v>
      </c>
      <c r="P180" s="885">
        <v>1.032</v>
      </c>
      <c r="Q180" s="886">
        <v>1.0349999999999999</v>
      </c>
      <c r="R180" s="889">
        <v>1.3148549708569053</v>
      </c>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row>
    <row r="181" spans="1:247">
      <c r="A181" s="4">
        <v>7442</v>
      </c>
      <c r="B181" s="9" t="s">
        <v>188</v>
      </c>
      <c r="C181" s="10" t="s">
        <v>8</v>
      </c>
      <c r="D181" s="878" t="s">
        <v>2342</v>
      </c>
      <c r="E181" s="885"/>
      <c r="F181" s="880">
        <f t="shared" si="29"/>
        <v>1.0209999999999999</v>
      </c>
      <c r="G181" s="886">
        <f t="shared" si="47"/>
        <v>1.0269999999999999</v>
      </c>
      <c r="H181" s="885"/>
      <c r="I181" s="887"/>
      <c r="J181" s="887">
        <f t="shared" si="49"/>
        <v>1.0049999999999999</v>
      </c>
      <c r="K181" s="887"/>
      <c r="L181" s="887"/>
      <c r="M181" s="887"/>
      <c r="N181" s="886">
        <f t="shared" si="50"/>
        <v>1.0029999999999999</v>
      </c>
      <c r="O181" s="888"/>
      <c r="P181" s="885">
        <f t="shared" si="52"/>
        <v>1.032</v>
      </c>
      <c r="Q181" s="886">
        <f t="shared" si="53"/>
        <v>1.0349999999999999</v>
      </c>
      <c r="R181" s="889">
        <f t="shared" si="30"/>
        <v>1.12897214704308</v>
      </c>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row>
    <row r="182" spans="1:247">
      <c r="A182" s="4">
        <v>7443</v>
      </c>
      <c r="B182" s="9" t="s">
        <v>189</v>
      </c>
      <c r="C182" s="10" t="s">
        <v>8</v>
      </c>
      <c r="D182" s="878" t="s">
        <v>2342</v>
      </c>
      <c r="E182" s="885"/>
      <c r="F182" s="880">
        <f t="shared" si="29"/>
        <v>1.0209999999999999</v>
      </c>
      <c r="G182" s="886"/>
      <c r="H182" s="885">
        <f>+$H$3</f>
        <v>1.0029999999999999</v>
      </c>
      <c r="I182" s="887">
        <f>+$I$3</f>
        <v>1.0289999999999999</v>
      </c>
      <c r="J182" s="887">
        <f t="shared" si="49"/>
        <v>1.0049999999999999</v>
      </c>
      <c r="K182" s="887"/>
      <c r="L182" s="887"/>
      <c r="M182" s="887"/>
      <c r="N182" s="886"/>
      <c r="O182" s="888"/>
      <c r="P182" s="885"/>
      <c r="Q182" s="886"/>
      <c r="R182" s="889">
        <f t="shared" si="30"/>
        <v>1.0590296311349996</v>
      </c>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row>
    <row r="183" spans="1:247">
      <c r="A183" s="4">
        <v>7444</v>
      </c>
      <c r="B183" s="9" t="s">
        <v>190</v>
      </c>
      <c r="C183" s="10" t="s">
        <v>8</v>
      </c>
      <c r="D183" s="878" t="s">
        <v>2342</v>
      </c>
      <c r="E183" s="885"/>
      <c r="F183" s="880">
        <f t="shared" si="29"/>
        <v>1.0209999999999999</v>
      </c>
      <c r="G183" s="886"/>
      <c r="H183" s="885"/>
      <c r="I183" s="887"/>
      <c r="J183" s="887"/>
      <c r="K183" s="887"/>
      <c r="L183" s="887"/>
      <c r="M183" s="887"/>
      <c r="N183" s="886"/>
      <c r="O183" s="888"/>
      <c r="P183" s="885"/>
      <c r="Q183" s="886"/>
      <c r="R183" s="889">
        <f t="shared" si="30"/>
        <v>1.0209999999999999</v>
      </c>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row>
    <row r="184" spans="1:247">
      <c r="A184" s="4">
        <v>7445</v>
      </c>
      <c r="B184" s="9" t="s">
        <v>191</v>
      </c>
      <c r="C184" s="10" t="s">
        <v>8</v>
      </c>
      <c r="D184" s="878" t="s">
        <v>2342</v>
      </c>
      <c r="E184" s="885"/>
      <c r="F184" s="880">
        <f t="shared" si="29"/>
        <v>1.0209999999999999</v>
      </c>
      <c r="G184" s="886"/>
      <c r="H184" s="885"/>
      <c r="I184" s="887"/>
      <c r="J184" s="887"/>
      <c r="K184" s="887"/>
      <c r="L184" s="887"/>
      <c r="M184" s="887"/>
      <c r="N184" s="886"/>
      <c r="O184" s="888"/>
      <c r="P184" s="885"/>
      <c r="Q184" s="886"/>
      <c r="R184" s="889">
        <f t="shared" si="30"/>
        <v>1.0209999999999999</v>
      </c>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row>
    <row r="185" spans="1:247">
      <c r="A185" s="4">
        <v>7446</v>
      </c>
      <c r="B185" s="9" t="s">
        <v>2347</v>
      </c>
      <c r="C185" s="10" t="s">
        <v>8</v>
      </c>
      <c r="D185" s="878" t="s">
        <v>2342</v>
      </c>
      <c r="E185" s="885"/>
      <c r="F185" s="880">
        <f t="shared" si="29"/>
        <v>1.0209999999999999</v>
      </c>
      <c r="G185" s="886"/>
      <c r="H185" s="885"/>
      <c r="I185" s="887"/>
      <c r="J185" s="887"/>
      <c r="K185" s="887"/>
      <c r="L185" s="887"/>
      <c r="M185" s="887"/>
      <c r="N185" s="886"/>
      <c r="O185" s="888"/>
      <c r="P185" s="885"/>
      <c r="Q185" s="886"/>
      <c r="R185" s="889">
        <f t="shared" si="30"/>
        <v>1.0209999999999999</v>
      </c>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row>
    <row r="186" spans="1:247">
      <c r="A186" s="4">
        <v>7448</v>
      </c>
      <c r="B186" s="9" t="s">
        <v>2348</v>
      </c>
      <c r="C186" s="10" t="s">
        <v>8</v>
      </c>
      <c r="D186" s="878" t="s">
        <v>2342</v>
      </c>
      <c r="E186" s="885"/>
      <c r="F186" s="880">
        <f t="shared" si="29"/>
        <v>1.0209999999999999</v>
      </c>
      <c r="G186" s="886">
        <f>+$G$3</f>
        <v>1.0269999999999999</v>
      </c>
      <c r="H186" s="885"/>
      <c r="I186" s="887"/>
      <c r="J186" s="887"/>
      <c r="K186" s="887"/>
      <c r="L186" s="887">
        <f>+$L$3</f>
        <v>1.0129999999999999</v>
      </c>
      <c r="M186" s="887"/>
      <c r="N186" s="886">
        <f>+$N$3</f>
        <v>1.0029999999999999</v>
      </c>
      <c r="O186" s="888"/>
      <c r="P186" s="885">
        <f t="shared" ref="P186:P191" si="54">+$P$3</f>
        <v>1.032</v>
      </c>
      <c r="Q186" s="886">
        <f t="shared" ref="Q186:Q191" si="55">+$Q$3</f>
        <v>1.0349999999999999</v>
      </c>
      <c r="R186" s="889">
        <f t="shared" si="30"/>
        <v>1.1379589900046172</v>
      </c>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row>
    <row r="187" spans="1:247">
      <c r="A187" s="4">
        <v>7449</v>
      </c>
      <c r="B187" s="9" t="s">
        <v>192</v>
      </c>
      <c r="C187" s="10" t="s">
        <v>8</v>
      </c>
      <c r="D187" s="878" t="s">
        <v>2342</v>
      </c>
      <c r="E187" s="885">
        <f>+$E$3</f>
        <v>1.0740000000000001</v>
      </c>
      <c r="F187" s="880">
        <f t="shared" si="29"/>
        <v>1.0209999999999999</v>
      </c>
      <c r="G187" s="886">
        <f>+$G$3</f>
        <v>1.0269999999999999</v>
      </c>
      <c r="H187" s="885">
        <f>+$H$3</f>
        <v>1.0029999999999999</v>
      </c>
      <c r="I187" s="887">
        <f>+$I$3</f>
        <v>1.0289999999999999</v>
      </c>
      <c r="J187" s="887">
        <f>+$J$3</f>
        <v>1.0049999999999999</v>
      </c>
      <c r="K187" s="887">
        <f>+$K$3</f>
        <v>1.026</v>
      </c>
      <c r="L187" s="887">
        <f>+$L$3</f>
        <v>1.0129999999999999</v>
      </c>
      <c r="M187" s="887">
        <f>+$M$3</f>
        <v>1.0029999999999999</v>
      </c>
      <c r="N187" s="886">
        <f>+$N$3</f>
        <v>1.0029999999999999</v>
      </c>
      <c r="O187" s="888">
        <f>+$O$3</f>
        <v>1.0209999999999999</v>
      </c>
      <c r="P187" s="885">
        <f t="shared" si="54"/>
        <v>1.032</v>
      </c>
      <c r="Q187" s="886">
        <f t="shared" si="55"/>
        <v>1.0349999999999999</v>
      </c>
      <c r="R187" s="889">
        <f t="shared" si="30"/>
        <v>1.3319480854780448</v>
      </c>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row>
    <row r="188" spans="1:247">
      <c r="A188" s="4">
        <v>7512</v>
      </c>
      <c r="B188" s="9" t="s">
        <v>193</v>
      </c>
      <c r="C188" s="10" t="s">
        <v>10</v>
      </c>
      <c r="D188" s="878" t="s">
        <v>2340</v>
      </c>
      <c r="E188" s="885"/>
      <c r="F188" s="880">
        <f t="shared" si="29"/>
        <v>1.0209999999999999</v>
      </c>
      <c r="G188" s="886">
        <f>+$G$3</f>
        <v>1.0269999999999999</v>
      </c>
      <c r="H188" s="885"/>
      <c r="I188" s="887"/>
      <c r="J188" s="887"/>
      <c r="K188" s="887"/>
      <c r="L188" s="887">
        <f>+$L$3</f>
        <v>1.0129999999999999</v>
      </c>
      <c r="M188" s="887"/>
      <c r="N188" s="886">
        <f>+$N$3</f>
        <v>1.0029999999999999</v>
      </c>
      <c r="O188" s="888"/>
      <c r="P188" s="885">
        <f t="shared" si="54"/>
        <v>1.032</v>
      </c>
      <c r="Q188" s="886">
        <f t="shared" si="55"/>
        <v>1.0349999999999999</v>
      </c>
      <c r="R188" s="889">
        <f t="shared" si="30"/>
        <v>1.1379589900046172</v>
      </c>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row>
    <row r="189" spans="1:247">
      <c r="A189" s="4">
        <v>7513</v>
      </c>
      <c r="B189" s="9" t="s">
        <v>194</v>
      </c>
      <c r="C189" s="10" t="s">
        <v>10</v>
      </c>
      <c r="D189" s="878" t="s">
        <v>2340</v>
      </c>
      <c r="E189" s="885"/>
      <c r="F189" s="880">
        <f t="shared" si="29"/>
        <v>1.0209999999999999</v>
      </c>
      <c r="G189" s="886">
        <f>+$G$3</f>
        <v>1.0269999999999999</v>
      </c>
      <c r="H189" s="885"/>
      <c r="I189" s="887"/>
      <c r="J189" s="887"/>
      <c r="K189" s="887"/>
      <c r="L189" s="887"/>
      <c r="M189" s="887"/>
      <c r="N189" s="886"/>
      <c r="O189" s="888"/>
      <c r="P189" s="885">
        <f t="shared" si="54"/>
        <v>1.032</v>
      </c>
      <c r="Q189" s="886">
        <f t="shared" si="55"/>
        <v>1.0349999999999999</v>
      </c>
      <c r="R189" s="889">
        <f t="shared" si="30"/>
        <v>1.1199953840399997</v>
      </c>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row>
    <row r="190" spans="1:247">
      <c r="A190" s="4">
        <v>7514</v>
      </c>
      <c r="B190" s="9" t="s">
        <v>195</v>
      </c>
      <c r="C190" s="10" t="s">
        <v>10</v>
      </c>
      <c r="D190" s="878" t="s">
        <v>2340</v>
      </c>
      <c r="E190" s="885"/>
      <c r="F190" s="880">
        <f t="shared" si="29"/>
        <v>1.0209999999999999</v>
      </c>
      <c r="G190" s="886">
        <f>+$G$3</f>
        <v>1.0269999999999999</v>
      </c>
      <c r="H190" s="885"/>
      <c r="I190" s="887"/>
      <c r="J190" s="887"/>
      <c r="K190" s="887"/>
      <c r="L190" s="887"/>
      <c r="M190" s="887"/>
      <c r="N190" s="886"/>
      <c r="O190" s="888"/>
      <c r="P190" s="885">
        <f t="shared" si="54"/>
        <v>1.032</v>
      </c>
      <c r="Q190" s="886">
        <f t="shared" si="55"/>
        <v>1.0349999999999999</v>
      </c>
      <c r="R190" s="889">
        <f t="shared" si="30"/>
        <v>1.1199953840399997</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row>
    <row r="191" spans="1:247">
      <c r="A191" s="4">
        <v>7515</v>
      </c>
      <c r="B191" s="9" t="s">
        <v>196</v>
      </c>
      <c r="C191" s="10" t="s">
        <v>10</v>
      </c>
      <c r="D191" s="878" t="s">
        <v>2340</v>
      </c>
      <c r="E191" s="885"/>
      <c r="F191" s="880">
        <f t="shared" si="29"/>
        <v>1.0209999999999999</v>
      </c>
      <c r="G191" s="886"/>
      <c r="H191" s="885"/>
      <c r="I191" s="887"/>
      <c r="J191" s="887"/>
      <c r="K191" s="887"/>
      <c r="L191" s="887"/>
      <c r="M191" s="887"/>
      <c r="N191" s="886"/>
      <c r="O191" s="888"/>
      <c r="P191" s="885">
        <f t="shared" si="54"/>
        <v>1.032</v>
      </c>
      <c r="Q191" s="886">
        <f t="shared" si="55"/>
        <v>1.0349999999999999</v>
      </c>
      <c r="R191" s="889">
        <f t="shared" si="30"/>
        <v>1.0905505199999999</v>
      </c>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row>
    <row r="192" spans="1:247">
      <c r="A192" s="4">
        <v>7516</v>
      </c>
      <c r="B192" s="9" t="s">
        <v>197</v>
      </c>
      <c r="C192" s="10" t="s">
        <v>10</v>
      </c>
      <c r="D192" s="878" t="s">
        <v>2340</v>
      </c>
      <c r="E192" s="885"/>
      <c r="F192" s="880">
        <f t="shared" si="29"/>
        <v>1.0209999999999999</v>
      </c>
      <c r="G192" s="886"/>
      <c r="H192" s="885"/>
      <c r="I192" s="887"/>
      <c r="J192" s="887"/>
      <c r="K192" s="887"/>
      <c r="L192" s="887"/>
      <c r="M192" s="887"/>
      <c r="N192" s="886"/>
      <c r="O192" s="888"/>
      <c r="P192" s="885"/>
      <c r="Q192" s="886"/>
      <c r="R192" s="889">
        <f t="shared" si="30"/>
        <v>1.0209999999999999</v>
      </c>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row>
    <row r="193" spans="1:247">
      <c r="A193" s="4">
        <v>7517</v>
      </c>
      <c r="B193" s="9" t="s">
        <v>198</v>
      </c>
      <c r="C193" s="10" t="s">
        <v>10</v>
      </c>
      <c r="D193" s="878" t="s">
        <v>2340</v>
      </c>
      <c r="E193" s="885"/>
      <c r="F193" s="880">
        <f t="shared" si="29"/>
        <v>1.0209999999999999</v>
      </c>
      <c r="G193" s="886"/>
      <c r="H193" s="885"/>
      <c r="I193" s="887"/>
      <c r="J193" s="887"/>
      <c r="K193" s="887"/>
      <c r="L193" s="887"/>
      <c r="M193" s="887"/>
      <c r="N193" s="886"/>
      <c r="O193" s="888"/>
      <c r="P193" s="885"/>
      <c r="Q193" s="886"/>
      <c r="R193" s="889">
        <f t="shared" si="30"/>
        <v>1.0209999999999999</v>
      </c>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row>
    <row r="194" spans="1:247">
      <c r="A194" s="4">
        <v>7518</v>
      </c>
      <c r="B194" s="9" t="s">
        <v>199</v>
      </c>
      <c r="C194" s="10" t="s">
        <v>10</v>
      </c>
      <c r="D194" s="878" t="s">
        <v>2340</v>
      </c>
      <c r="E194" s="885"/>
      <c r="F194" s="880">
        <f t="shared" si="29"/>
        <v>1.0209999999999999</v>
      </c>
      <c r="G194" s="886">
        <f>+$G$3</f>
        <v>1.0269999999999999</v>
      </c>
      <c r="H194" s="885"/>
      <c r="I194" s="887"/>
      <c r="J194" s="887"/>
      <c r="K194" s="887"/>
      <c r="L194" s="887"/>
      <c r="M194" s="887"/>
      <c r="N194" s="886"/>
      <c r="O194" s="888"/>
      <c r="P194" s="885">
        <f>+$P$3</f>
        <v>1.032</v>
      </c>
      <c r="Q194" s="886">
        <f>+$Q$3</f>
        <v>1.0349999999999999</v>
      </c>
      <c r="R194" s="889">
        <f t="shared" si="30"/>
        <v>1.1199953840399997</v>
      </c>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row>
    <row r="195" spans="1:247">
      <c r="A195" s="4">
        <v>7521</v>
      </c>
      <c r="B195" s="9" t="s">
        <v>200</v>
      </c>
      <c r="C195" s="10" t="s">
        <v>10</v>
      </c>
      <c r="D195" s="878" t="s">
        <v>2340</v>
      </c>
      <c r="E195" s="885"/>
      <c r="F195" s="880">
        <f t="shared" si="29"/>
        <v>1.0209999999999999</v>
      </c>
      <c r="G195" s="886"/>
      <c r="H195" s="885"/>
      <c r="I195" s="887"/>
      <c r="J195" s="887"/>
      <c r="K195" s="887"/>
      <c r="L195" s="887"/>
      <c r="M195" s="887"/>
      <c r="N195" s="886"/>
      <c r="O195" s="888"/>
      <c r="P195" s="885"/>
      <c r="Q195" s="886"/>
      <c r="R195" s="889">
        <f t="shared" si="30"/>
        <v>1.0209999999999999</v>
      </c>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row>
    <row r="196" spans="1:247">
      <c r="A196" s="4">
        <v>7523</v>
      </c>
      <c r="B196" s="9" t="s">
        <v>201</v>
      </c>
      <c r="C196" s="10" t="s">
        <v>10</v>
      </c>
      <c r="D196" s="878" t="s">
        <v>2340</v>
      </c>
      <c r="E196" s="885"/>
      <c r="F196" s="880">
        <f t="shared" ref="F196:F264" si="56">+$F$3</f>
        <v>1.0209999999999999</v>
      </c>
      <c r="G196" s="886">
        <f>+$G$3</f>
        <v>1.0269999999999999</v>
      </c>
      <c r="H196" s="885"/>
      <c r="I196" s="887"/>
      <c r="J196" s="887"/>
      <c r="K196" s="887"/>
      <c r="L196" s="887"/>
      <c r="M196" s="887"/>
      <c r="N196" s="886"/>
      <c r="O196" s="888"/>
      <c r="P196" s="885"/>
      <c r="Q196" s="886"/>
      <c r="R196" s="889">
        <f t="shared" ref="R196:R264" si="57">PRODUCT(E196:Q196)</f>
        <v>1.0485669999999998</v>
      </c>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row>
    <row r="197" spans="1:247">
      <c r="A197" s="4">
        <v>7524</v>
      </c>
      <c r="B197" s="9" t="s">
        <v>202</v>
      </c>
      <c r="C197" s="10" t="s">
        <v>10</v>
      </c>
      <c r="D197" s="878" t="s">
        <v>2340</v>
      </c>
      <c r="E197" s="885"/>
      <c r="F197" s="880">
        <f t="shared" si="56"/>
        <v>1.0209999999999999</v>
      </c>
      <c r="G197" s="886">
        <f>+$G$3</f>
        <v>1.0269999999999999</v>
      </c>
      <c r="H197" s="885"/>
      <c r="I197" s="887"/>
      <c r="J197" s="887"/>
      <c r="K197" s="887"/>
      <c r="L197" s="887"/>
      <c r="M197" s="887"/>
      <c r="N197" s="886"/>
      <c r="O197" s="888"/>
      <c r="P197" s="885">
        <f>+$P$3</f>
        <v>1.032</v>
      </c>
      <c r="Q197" s="886">
        <f>+$Q$3</f>
        <v>1.0349999999999999</v>
      </c>
      <c r="R197" s="889">
        <f t="shared" si="57"/>
        <v>1.1199953840399997</v>
      </c>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row>
    <row r="198" spans="1:247">
      <c r="A198" s="4">
        <v>7531</v>
      </c>
      <c r="B198" s="9" t="s">
        <v>203</v>
      </c>
      <c r="C198" s="10" t="s">
        <v>8</v>
      </c>
      <c r="D198" s="878" t="s">
        <v>2340</v>
      </c>
      <c r="E198" s="885"/>
      <c r="F198" s="880">
        <f t="shared" si="56"/>
        <v>1.0209999999999999</v>
      </c>
      <c r="G198" s="886"/>
      <c r="H198" s="885"/>
      <c r="I198" s="887"/>
      <c r="J198" s="887"/>
      <c r="K198" s="887"/>
      <c r="L198" s="887"/>
      <c r="M198" s="887"/>
      <c r="N198" s="886"/>
      <c r="O198" s="888"/>
      <c r="P198" s="885"/>
      <c r="Q198" s="886"/>
      <c r="R198" s="889">
        <f t="shared" si="57"/>
        <v>1.0209999999999999</v>
      </c>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row>
    <row r="199" spans="1:247">
      <c r="A199" s="4">
        <v>7532</v>
      </c>
      <c r="B199" s="9" t="s">
        <v>204</v>
      </c>
      <c r="C199" s="10" t="s">
        <v>10</v>
      </c>
      <c r="D199" s="878" t="s">
        <v>2340</v>
      </c>
      <c r="E199" s="885"/>
      <c r="F199" s="880">
        <f t="shared" si="56"/>
        <v>1.0209999999999999</v>
      </c>
      <c r="G199" s="886">
        <f>+$G$3</f>
        <v>1.0269999999999999</v>
      </c>
      <c r="H199" s="885"/>
      <c r="I199" s="887"/>
      <c r="J199" s="887"/>
      <c r="K199" s="887"/>
      <c r="L199" s="887"/>
      <c r="M199" s="887"/>
      <c r="N199" s="886"/>
      <c r="O199" s="888"/>
      <c r="P199" s="885"/>
      <c r="Q199" s="886"/>
      <c r="R199" s="889">
        <f t="shared" si="57"/>
        <v>1.0485669999999998</v>
      </c>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row>
    <row r="200" spans="1:247">
      <c r="A200" s="4">
        <v>7541</v>
      </c>
      <c r="B200" s="9" t="s">
        <v>205</v>
      </c>
      <c r="C200" s="10" t="s">
        <v>10</v>
      </c>
      <c r="D200" s="878" t="s">
        <v>2340</v>
      </c>
      <c r="E200" s="885"/>
      <c r="F200" s="880">
        <f t="shared" si="56"/>
        <v>1.0209999999999999</v>
      </c>
      <c r="G200" s="886">
        <f>+$G$3</f>
        <v>1.0269999999999999</v>
      </c>
      <c r="H200" s="885"/>
      <c r="I200" s="887"/>
      <c r="J200" s="887"/>
      <c r="K200" s="887"/>
      <c r="L200" s="887"/>
      <c r="M200" s="887"/>
      <c r="N200" s="886"/>
      <c r="O200" s="888"/>
      <c r="P200" s="885"/>
      <c r="Q200" s="886"/>
      <c r="R200" s="889">
        <f t="shared" si="57"/>
        <v>1.0485669999999998</v>
      </c>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row>
    <row r="201" spans="1:247">
      <c r="A201" s="4">
        <v>7542</v>
      </c>
      <c r="B201" s="9" t="s">
        <v>206</v>
      </c>
      <c r="C201" s="10" t="s">
        <v>10</v>
      </c>
      <c r="D201" s="878" t="s">
        <v>2340</v>
      </c>
      <c r="E201" s="885"/>
      <c r="F201" s="880">
        <f t="shared" si="56"/>
        <v>1.0209999999999999</v>
      </c>
      <c r="G201" s="886">
        <f>+$G$3</f>
        <v>1.0269999999999999</v>
      </c>
      <c r="H201" s="885"/>
      <c r="I201" s="887"/>
      <c r="J201" s="887"/>
      <c r="K201" s="887"/>
      <c r="L201" s="887"/>
      <c r="M201" s="887"/>
      <c r="N201" s="886"/>
      <c r="O201" s="888"/>
      <c r="P201" s="885"/>
      <c r="Q201" s="886"/>
      <c r="R201" s="889">
        <f>PRODUCT(E201:Q201)</f>
        <v>1.0485669999999998</v>
      </c>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row>
    <row r="202" spans="1:247">
      <c r="A202" s="4">
        <v>7601</v>
      </c>
      <c r="B202" s="9" t="s">
        <v>207</v>
      </c>
      <c r="C202" s="10" t="s">
        <v>8</v>
      </c>
      <c r="D202" s="878" t="s">
        <v>2342</v>
      </c>
      <c r="E202" s="885">
        <f>+$E$3</f>
        <v>1.0740000000000001</v>
      </c>
      <c r="F202" s="880">
        <f t="shared" si="56"/>
        <v>1.0209999999999999</v>
      </c>
      <c r="G202" s="886">
        <f>+$G$3</f>
        <v>1.0269999999999999</v>
      </c>
      <c r="H202" s="885">
        <f>+$H$3</f>
        <v>1.0029999999999999</v>
      </c>
      <c r="I202" s="887">
        <f>+$I$3</f>
        <v>1.0289999999999999</v>
      </c>
      <c r="J202" s="887">
        <f>+$J$3</f>
        <v>1.0049999999999999</v>
      </c>
      <c r="K202" s="887">
        <f>+$K$3</f>
        <v>1.026</v>
      </c>
      <c r="L202" s="887">
        <f>+$L$3</f>
        <v>1.0129999999999999</v>
      </c>
      <c r="M202" s="887">
        <f>+$M$3</f>
        <v>1.0029999999999999</v>
      </c>
      <c r="N202" s="886">
        <f>+$N$3</f>
        <v>1.0029999999999999</v>
      </c>
      <c r="O202" s="888">
        <f>+$O$3</f>
        <v>1.0209999999999999</v>
      </c>
      <c r="P202" s="885">
        <f t="shared" ref="P202:P221" si="58">+$P$3</f>
        <v>1.032</v>
      </c>
      <c r="Q202" s="886">
        <f t="shared" ref="Q202:Q221" si="59">+$Q$3</f>
        <v>1.0349999999999999</v>
      </c>
      <c r="R202" s="889">
        <f t="shared" si="57"/>
        <v>1.3319480854780448</v>
      </c>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row>
    <row r="203" spans="1:247">
      <c r="A203" s="4">
        <v>7604</v>
      </c>
      <c r="B203" s="9" t="s">
        <v>208</v>
      </c>
      <c r="C203" s="10" t="s">
        <v>209</v>
      </c>
      <c r="D203" s="878" t="s">
        <v>2340</v>
      </c>
      <c r="E203" s="885"/>
      <c r="F203" s="880">
        <f t="shared" si="56"/>
        <v>1.0209999999999999</v>
      </c>
      <c r="G203" s="886">
        <f>+$G$3</f>
        <v>1.0269999999999999</v>
      </c>
      <c r="H203" s="885"/>
      <c r="I203" s="887"/>
      <c r="J203" s="887"/>
      <c r="K203" s="887"/>
      <c r="L203" s="887"/>
      <c r="M203" s="887"/>
      <c r="N203" s="886"/>
      <c r="O203" s="888"/>
      <c r="P203" s="885">
        <f t="shared" si="58"/>
        <v>1.032</v>
      </c>
      <c r="Q203" s="886">
        <f t="shared" si="59"/>
        <v>1.0349999999999999</v>
      </c>
      <c r="R203" s="889">
        <f t="shared" si="57"/>
        <v>1.1199953840399997</v>
      </c>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row>
    <row r="204" spans="1:247">
      <c r="A204" s="4">
        <v>8111</v>
      </c>
      <c r="B204" s="9" t="s">
        <v>210</v>
      </c>
      <c r="C204" s="10" t="s">
        <v>211</v>
      </c>
      <c r="D204" s="878" t="s">
        <v>2340</v>
      </c>
      <c r="E204" s="885"/>
      <c r="F204" s="880">
        <f t="shared" si="56"/>
        <v>1.0209999999999999</v>
      </c>
      <c r="G204" s="886"/>
      <c r="H204" s="885"/>
      <c r="I204" s="887"/>
      <c r="J204" s="887"/>
      <c r="K204" s="887"/>
      <c r="L204" s="887"/>
      <c r="M204" s="887"/>
      <c r="N204" s="886"/>
      <c r="O204" s="888"/>
      <c r="P204" s="885">
        <f t="shared" si="58"/>
        <v>1.032</v>
      </c>
      <c r="Q204" s="886">
        <f t="shared" si="59"/>
        <v>1.0349999999999999</v>
      </c>
      <c r="R204" s="889">
        <f t="shared" si="57"/>
        <v>1.0905505199999999</v>
      </c>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row>
    <row r="205" spans="1:247">
      <c r="A205" s="4">
        <v>8113</v>
      </c>
      <c r="B205" s="9" t="s">
        <v>212</v>
      </c>
      <c r="C205" s="10" t="s">
        <v>213</v>
      </c>
      <c r="D205" s="878" t="s">
        <v>2340</v>
      </c>
      <c r="E205" s="885"/>
      <c r="F205" s="880">
        <f t="shared" si="56"/>
        <v>1.0209999999999999</v>
      </c>
      <c r="G205" s="886">
        <f>+$G$3</f>
        <v>1.0269999999999999</v>
      </c>
      <c r="H205" s="885"/>
      <c r="I205" s="887"/>
      <c r="J205" s="887"/>
      <c r="K205" s="887"/>
      <c r="L205" s="887"/>
      <c r="M205" s="887"/>
      <c r="N205" s="886"/>
      <c r="O205" s="888"/>
      <c r="P205" s="885">
        <f t="shared" si="58"/>
        <v>1.032</v>
      </c>
      <c r="Q205" s="886">
        <f t="shared" si="59"/>
        <v>1.0349999999999999</v>
      </c>
      <c r="R205" s="889">
        <f t="shared" si="57"/>
        <v>1.1199953840399997</v>
      </c>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row>
    <row r="206" spans="1:247">
      <c r="A206" s="4">
        <v>8114</v>
      </c>
      <c r="B206" s="9" t="s">
        <v>214</v>
      </c>
      <c r="C206" s="10" t="s">
        <v>211</v>
      </c>
      <c r="D206" s="878" t="s">
        <v>2340</v>
      </c>
      <c r="E206" s="885"/>
      <c r="F206" s="880">
        <f t="shared" si="56"/>
        <v>1.0209999999999999</v>
      </c>
      <c r="G206" s="886">
        <f>+$G$3</f>
        <v>1.0269999999999999</v>
      </c>
      <c r="H206" s="885"/>
      <c r="I206" s="887"/>
      <c r="J206" s="887"/>
      <c r="K206" s="887"/>
      <c r="L206" s="887"/>
      <c r="M206" s="887"/>
      <c r="N206" s="886"/>
      <c r="O206" s="888"/>
      <c r="P206" s="885">
        <f t="shared" si="58"/>
        <v>1.032</v>
      </c>
      <c r="Q206" s="886">
        <f t="shared" si="59"/>
        <v>1.0349999999999999</v>
      </c>
      <c r="R206" s="889">
        <f t="shared" si="57"/>
        <v>1.1199953840399997</v>
      </c>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row>
    <row r="207" spans="1:247">
      <c r="A207" s="4">
        <v>8115</v>
      </c>
      <c r="B207" s="9" t="s">
        <v>215</v>
      </c>
      <c r="C207" s="10" t="s">
        <v>211</v>
      </c>
      <c r="D207" s="878" t="s">
        <v>2340</v>
      </c>
      <c r="E207" s="885"/>
      <c r="F207" s="880">
        <f t="shared" si="56"/>
        <v>1.0209999999999999</v>
      </c>
      <c r="G207" s="886">
        <f>+$G$3</f>
        <v>1.0269999999999999</v>
      </c>
      <c r="H207" s="885"/>
      <c r="I207" s="887"/>
      <c r="J207" s="887"/>
      <c r="K207" s="887"/>
      <c r="L207" s="887"/>
      <c r="M207" s="887"/>
      <c r="N207" s="886"/>
      <c r="O207" s="888"/>
      <c r="P207" s="885">
        <f t="shared" si="58"/>
        <v>1.032</v>
      </c>
      <c r="Q207" s="886">
        <f t="shared" si="59"/>
        <v>1.0349999999999999</v>
      </c>
      <c r="R207" s="889">
        <f>PRODUCT(E207:Q207)</f>
        <v>1.1199953840399997</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row>
    <row r="208" spans="1:247">
      <c r="A208" s="4">
        <v>8122</v>
      </c>
      <c r="B208" s="9" t="s">
        <v>216</v>
      </c>
      <c r="C208" s="10" t="s">
        <v>10</v>
      </c>
      <c r="D208" s="878" t="s">
        <v>2340</v>
      </c>
      <c r="E208" s="885"/>
      <c r="F208" s="880">
        <f t="shared" si="56"/>
        <v>1.0209999999999999</v>
      </c>
      <c r="G208" s="886"/>
      <c r="H208" s="885"/>
      <c r="I208" s="887"/>
      <c r="J208" s="887"/>
      <c r="K208" s="887"/>
      <c r="L208" s="887"/>
      <c r="M208" s="887"/>
      <c r="N208" s="886"/>
      <c r="O208" s="888"/>
      <c r="P208" s="885">
        <f t="shared" si="58"/>
        <v>1.032</v>
      </c>
      <c r="Q208" s="886">
        <f t="shared" si="59"/>
        <v>1.0349999999999999</v>
      </c>
      <c r="R208" s="889">
        <f t="shared" si="57"/>
        <v>1.0905505199999999</v>
      </c>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row>
    <row r="209" spans="1:247">
      <c r="A209" s="4">
        <v>8134</v>
      </c>
      <c r="B209" s="9" t="s">
        <v>2349</v>
      </c>
      <c r="C209" s="10" t="s">
        <v>10</v>
      </c>
      <c r="D209" s="878" t="s">
        <v>2340</v>
      </c>
      <c r="E209" s="885"/>
      <c r="F209" s="880">
        <f t="shared" si="56"/>
        <v>1.0209999999999999</v>
      </c>
      <c r="G209" s="886"/>
      <c r="H209" s="885"/>
      <c r="I209" s="887"/>
      <c r="J209" s="887"/>
      <c r="K209" s="887"/>
      <c r="L209" s="887"/>
      <c r="M209" s="887"/>
      <c r="N209" s="886"/>
      <c r="O209" s="888"/>
      <c r="P209" s="885">
        <f t="shared" si="58"/>
        <v>1.032</v>
      </c>
      <c r="Q209" s="886">
        <f t="shared" si="59"/>
        <v>1.0349999999999999</v>
      </c>
      <c r="R209" s="889">
        <f>PRODUCT(E209:Q209)</f>
        <v>1.0905505199999999</v>
      </c>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row>
    <row r="210" spans="1:247">
      <c r="A210" s="4">
        <v>8211</v>
      </c>
      <c r="B210" s="9" t="s">
        <v>218</v>
      </c>
      <c r="C210" s="10" t="s">
        <v>2350</v>
      </c>
      <c r="D210" s="878" t="s">
        <v>2340</v>
      </c>
      <c r="E210" s="885"/>
      <c r="F210" s="880">
        <f t="shared" si="56"/>
        <v>1.0209999999999999</v>
      </c>
      <c r="G210" s="886"/>
      <c r="H210" s="885"/>
      <c r="I210" s="887"/>
      <c r="J210" s="887"/>
      <c r="K210" s="887"/>
      <c r="L210" s="887"/>
      <c r="M210" s="887"/>
      <c r="N210" s="886"/>
      <c r="O210" s="888"/>
      <c r="P210" s="885">
        <f t="shared" si="58"/>
        <v>1.032</v>
      </c>
      <c r="Q210" s="886">
        <f t="shared" si="59"/>
        <v>1.0349999999999999</v>
      </c>
      <c r="R210" s="889">
        <f t="shared" si="57"/>
        <v>1.0905505199999999</v>
      </c>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row>
    <row r="211" spans="1:247">
      <c r="A211" s="4">
        <v>8231</v>
      </c>
      <c r="B211" s="9" t="s">
        <v>220</v>
      </c>
      <c r="C211" s="10" t="s">
        <v>2350</v>
      </c>
      <c r="D211" s="878" t="s">
        <v>2340</v>
      </c>
      <c r="E211" s="885"/>
      <c r="F211" s="880">
        <f t="shared" si="56"/>
        <v>1.0209999999999999</v>
      </c>
      <c r="G211" s="886"/>
      <c r="H211" s="885"/>
      <c r="I211" s="887"/>
      <c r="J211" s="887"/>
      <c r="K211" s="887"/>
      <c r="L211" s="887"/>
      <c r="M211" s="887"/>
      <c r="N211" s="886"/>
      <c r="O211" s="888"/>
      <c r="P211" s="885">
        <f t="shared" si="58"/>
        <v>1.032</v>
      </c>
      <c r="Q211" s="886">
        <f t="shared" si="59"/>
        <v>1.0349999999999999</v>
      </c>
      <c r="R211" s="889">
        <f t="shared" si="57"/>
        <v>1.0905505199999999</v>
      </c>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row>
    <row r="212" spans="1:247">
      <c r="A212" s="4">
        <v>8232</v>
      </c>
      <c r="B212" s="9" t="s">
        <v>221</v>
      </c>
      <c r="C212" s="10" t="s">
        <v>10</v>
      </c>
      <c r="D212" s="878" t="s">
        <v>2340</v>
      </c>
      <c r="E212" s="885"/>
      <c r="F212" s="880">
        <f t="shared" si="56"/>
        <v>1.0209999999999999</v>
      </c>
      <c r="G212" s="886"/>
      <c r="H212" s="885"/>
      <c r="I212" s="887"/>
      <c r="J212" s="887"/>
      <c r="K212" s="887"/>
      <c r="L212" s="887"/>
      <c r="M212" s="887"/>
      <c r="N212" s="886"/>
      <c r="O212" s="888"/>
      <c r="P212" s="885">
        <f t="shared" si="58"/>
        <v>1.032</v>
      </c>
      <c r="Q212" s="886">
        <f t="shared" si="59"/>
        <v>1.0349999999999999</v>
      </c>
      <c r="R212" s="889">
        <f t="shared" si="57"/>
        <v>1.0905505199999999</v>
      </c>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row>
    <row r="213" spans="1:247">
      <c r="A213" s="4">
        <v>8241</v>
      </c>
      <c r="B213" s="9" t="s">
        <v>222</v>
      </c>
      <c r="C213" s="10" t="s">
        <v>6</v>
      </c>
      <c r="D213" s="878" t="s">
        <v>2341</v>
      </c>
      <c r="E213" s="885"/>
      <c r="F213" s="880">
        <f t="shared" si="56"/>
        <v>1.0209999999999999</v>
      </c>
      <c r="G213" s="886"/>
      <c r="H213" s="885"/>
      <c r="I213" s="887"/>
      <c r="J213" s="887"/>
      <c r="K213" s="887"/>
      <c r="L213" s="887"/>
      <c r="M213" s="887"/>
      <c r="N213" s="886"/>
      <c r="O213" s="888"/>
      <c r="P213" s="885">
        <f t="shared" si="58"/>
        <v>1.032</v>
      </c>
      <c r="Q213" s="886">
        <f t="shared" si="59"/>
        <v>1.0349999999999999</v>
      </c>
      <c r="R213" s="889">
        <f t="shared" si="57"/>
        <v>1.0905505199999999</v>
      </c>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row>
    <row r="214" spans="1:247">
      <c r="A214" s="4">
        <v>8261</v>
      </c>
      <c r="B214" s="9" t="s">
        <v>223</v>
      </c>
      <c r="C214" s="10" t="s">
        <v>224</v>
      </c>
      <c r="D214" s="878" t="s">
        <v>2340</v>
      </c>
      <c r="E214" s="885"/>
      <c r="F214" s="880">
        <f t="shared" si="56"/>
        <v>1.0209999999999999</v>
      </c>
      <c r="G214" s="886"/>
      <c r="H214" s="885"/>
      <c r="I214" s="887"/>
      <c r="J214" s="887"/>
      <c r="K214" s="887"/>
      <c r="L214" s="887"/>
      <c r="M214" s="887"/>
      <c r="N214" s="886"/>
      <c r="O214" s="888"/>
      <c r="P214" s="885">
        <f t="shared" si="58"/>
        <v>1.032</v>
      </c>
      <c r="Q214" s="886">
        <f t="shared" si="59"/>
        <v>1.0349999999999999</v>
      </c>
      <c r="R214" s="889">
        <f t="shared" si="57"/>
        <v>1.0905505199999999</v>
      </c>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row>
    <row r="215" spans="1:247">
      <c r="A215" s="4">
        <v>8271</v>
      </c>
      <c r="B215" s="9" t="s">
        <v>225</v>
      </c>
      <c r="C215" s="10" t="s">
        <v>6</v>
      </c>
      <c r="D215" s="878" t="s">
        <v>2341</v>
      </c>
      <c r="E215" s="885"/>
      <c r="F215" s="880">
        <f t="shared" si="56"/>
        <v>1.0209999999999999</v>
      </c>
      <c r="G215" s="886"/>
      <c r="H215" s="885"/>
      <c r="I215" s="887"/>
      <c r="J215" s="887"/>
      <c r="K215" s="887"/>
      <c r="L215" s="887"/>
      <c r="M215" s="887"/>
      <c r="N215" s="886"/>
      <c r="O215" s="888"/>
      <c r="P215" s="885">
        <f t="shared" si="58"/>
        <v>1.032</v>
      </c>
      <c r="Q215" s="886">
        <f t="shared" si="59"/>
        <v>1.0349999999999999</v>
      </c>
      <c r="R215" s="889">
        <f t="shared" si="57"/>
        <v>1.0905505199999999</v>
      </c>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row>
    <row r="216" spans="1:247">
      <c r="A216" s="4">
        <v>8311</v>
      </c>
      <c r="B216" s="9" t="s">
        <v>226</v>
      </c>
      <c r="C216" s="10" t="s">
        <v>227</v>
      </c>
      <c r="D216" s="878" t="s">
        <v>2340</v>
      </c>
      <c r="E216" s="885"/>
      <c r="F216" s="880">
        <f t="shared" si="56"/>
        <v>1.0209999999999999</v>
      </c>
      <c r="G216" s="886">
        <f>+$G$3</f>
        <v>1.0269999999999999</v>
      </c>
      <c r="H216" s="885"/>
      <c r="I216" s="887"/>
      <c r="J216" s="887"/>
      <c r="K216" s="887"/>
      <c r="L216" s="887"/>
      <c r="M216" s="887"/>
      <c r="N216" s="886"/>
      <c r="O216" s="888"/>
      <c r="P216" s="885">
        <f t="shared" si="58"/>
        <v>1.032</v>
      </c>
      <c r="Q216" s="886">
        <f t="shared" si="59"/>
        <v>1.0349999999999999</v>
      </c>
      <c r="R216" s="889">
        <f t="shared" si="57"/>
        <v>1.1199953840399997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row>
    <row r="217" spans="1:247">
      <c r="A217" s="4">
        <v>8312</v>
      </c>
      <c r="B217" s="9" t="s">
        <v>228</v>
      </c>
      <c r="C217" s="10" t="s">
        <v>227</v>
      </c>
      <c r="D217" s="878" t="s">
        <v>2340</v>
      </c>
      <c r="E217" s="885"/>
      <c r="F217" s="880">
        <f t="shared" si="56"/>
        <v>1.0209999999999999</v>
      </c>
      <c r="G217" s="886">
        <f>+$G$3</f>
        <v>1.0269999999999999</v>
      </c>
      <c r="H217" s="885"/>
      <c r="I217" s="887"/>
      <c r="J217" s="887"/>
      <c r="K217" s="887"/>
      <c r="L217" s="887"/>
      <c r="M217" s="887"/>
      <c r="N217" s="886"/>
      <c r="O217" s="888"/>
      <c r="P217" s="885">
        <f t="shared" si="58"/>
        <v>1.032</v>
      </c>
      <c r="Q217" s="886">
        <f t="shared" si="59"/>
        <v>1.0349999999999999</v>
      </c>
      <c r="R217" s="889">
        <f t="shared" si="57"/>
        <v>1.1199953840399997</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row>
    <row r="218" spans="1:247">
      <c r="A218" s="4">
        <v>8313</v>
      </c>
      <c r="B218" s="9" t="s">
        <v>229</v>
      </c>
      <c r="C218" s="10" t="s">
        <v>227</v>
      </c>
      <c r="D218" s="878" t="s">
        <v>2340</v>
      </c>
      <c r="E218" s="885"/>
      <c r="F218" s="880">
        <f t="shared" si="56"/>
        <v>1.0209999999999999</v>
      </c>
      <c r="G218" s="886">
        <f>+$G$3</f>
        <v>1.0269999999999999</v>
      </c>
      <c r="H218" s="885"/>
      <c r="I218" s="887"/>
      <c r="J218" s="887"/>
      <c r="K218" s="887"/>
      <c r="L218" s="887"/>
      <c r="M218" s="887"/>
      <c r="N218" s="886"/>
      <c r="O218" s="888"/>
      <c r="P218" s="885">
        <f t="shared" si="58"/>
        <v>1.032</v>
      </c>
      <c r="Q218" s="886">
        <f t="shared" si="59"/>
        <v>1.0349999999999999</v>
      </c>
      <c r="R218" s="889">
        <f t="shared" si="57"/>
        <v>1.1199953840399997</v>
      </c>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row>
    <row r="219" spans="1:247">
      <c r="A219" s="4">
        <v>8314</v>
      </c>
      <c r="B219" s="9" t="s">
        <v>230</v>
      </c>
      <c r="C219" s="10" t="s">
        <v>5</v>
      </c>
      <c r="D219" s="878" t="s">
        <v>2340</v>
      </c>
      <c r="E219" s="885"/>
      <c r="F219" s="880">
        <f t="shared" si="56"/>
        <v>1.0209999999999999</v>
      </c>
      <c r="G219" s="886"/>
      <c r="H219" s="885"/>
      <c r="I219" s="887"/>
      <c r="J219" s="887"/>
      <c r="K219" s="887"/>
      <c r="L219" s="887"/>
      <c r="M219" s="887"/>
      <c r="N219" s="886"/>
      <c r="O219" s="888"/>
      <c r="P219" s="885">
        <f t="shared" si="58"/>
        <v>1.032</v>
      </c>
      <c r="Q219" s="886">
        <f t="shared" si="59"/>
        <v>1.0349999999999999</v>
      </c>
      <c r="R219" s="889">
        <f t="shared" si="57"/>
        <v>1.0905505199999999</v>
      </c>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row>
    <row r="220" spans="1:247">
      <c r="A220" s="4">
        <v>8315</v>
      </c>
      <c r="B220" s="9" t="s">
        <v>231</v>
      </c>
      <c r="C220" s="10" t="s">
        <v>5</v>
      </c>
      <c r="D220" s="878" t="s">
        <v>2340</v>
      </c>
      <c r="E220" s="885"/>
      <c r="F220" s="880">
        <f t="shared" si="56"/>
        <v>1.0209999999999999</v>
      </c>
      <c r="G220" s="886"/>
      <c r="H220" s="885"/>
      <c r="I220" s="887"/>
      <c r="J220" s="887"/>
      <c r="K220" s="887"/>
      <c r="L220" s="887"/>
      <c r="M220" s="887"/>
      <c r="N220" s="886"/>
      <c r="O220" s="888"/>
      <c r="P220" s="885">
        <f t="shared" si="58"/>
        <v>1.032</v>
      </c>
      <c r="Q220" s="886">
        <f t="shared" si="59"/>
        <v>1.0349999999999999</v>
      </c>
      <c r="R220" s="889">
        <f t="shared" si="57"/>
        <v>1.0905505199999999</v>
      </c>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row>
    <row r="221" spans="1:247">
      <c r="A221" s="4">
        <v>8321</v>
      </c>
      <c r="B221" s="9" t="s">
        <v>232</v>
      </c>
      <c r="C221" s="10" t="s">
        <v>6</v>
      </c>
      <c r="D221" s="878" t="s">
        <v>2341</v>
      </c>
      <c r="E221" s="885"/>
      <c r="F221" s="880">
        <f t="shared" si="56"/>
        <v>1.0209999999999999</v>
      </c>
      <c r="G221" s="886"/>
      <c r="H221" s="885"/>
      <c r="I221" s="887"/>
      <c r="J221" s="887"/>
      <c r="K221" s="887"/>
      <c r="L221" s="887"/>
      <c r="M221" s="887"/>
      <c r="N221" s="886"/>
      <c r="O221" s="888"/>
      <c r="P221" s="885">
        <f t="shared" si="58"/>
        <v>1.032</v>
      </c>
      <c r="Q221" s="886">
        <f t="shared" si="59"/>
        <v>1.0349999999999999</v>
      </c>
      <c r="R221" s="889">
        <f t="shared" si="57"/>
        <v>1.0905505199999999</v>
      </c>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row>
    <row r="222" spans="1:247">
      <c r="A222" s="4">
        <v>8331</v>
      </c>
      <c r="B222" s="9" t="s">
        <v>233</v>
      </c>
      <c r="C222" s="10" t="s">
        <v>10</v>
      </c>
      <c r="D222" s="878" t="s">
        <v>2340</v>
      </c>
      <c r="E222" s="885"/>
      <c r="F222" s="880">
        <f t="shared" si="56"/>
        <v>1.0209999999999999</v>
      </c>
      <c r="G222" s="886">
        <f>+$G$3</f>
        <v>1.0269999999999999</v>
      </c>
      <c r="H222" s="885"/>
      <c r="I222" s="887"/>
      <c r="J222" s="887"/>
      <c r="K222" s="887"/>
      <c r="L222" s="887"/>
      <c r="M222" s="887"/>
      <c r="N222" s="886"/>
      <c r="O222" s="888"/>
      <c r="P222" s="885"/>
      <c r="Q222" s="886"/>
      <c r="R222" s="889">
        <f t="shared" si="57"/>
        <v>1.0485669999999998</v>
      </c>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row>
    <row r="223" spans="1:247">
      <c r="A223" s="4">
        <v>8332</v>
      </c>
      <c r="B223" s="9" t="s">
        <v>234</v>
      </c>
      <c r="C223" s="10" t="s">
        <v>235</v>
      </c>
      <c r="D223" s="878" t="s">
        <v>2340</v>
      </c>
      <c r="E223" s="885"/>
      <c r="F223" s="880">
        <f t="shared" si="56"/>
        <v>1.0209999999999999</v>
      </c>
      <c r="G223" s="886">
        <f>+$G$3</f>
        <v>1.0269999999999999</v>
      </c>
      <c r="H223" s="885"/>
      <c r="I223" s="887"/>
      <c r="J223" s="887"/>
      <c r="K223" s="887"/>
      <c r="L223" s="887"/>
      <c r="M223" s="887"/>
      <c r="N223" s="886"/>
      <c r="O223" s="888"/>
      <c r="P223" s="885">
        <f>+$P$3</f>
        <v>1.032</v>
      </c>
      <c r="Q223" s="886">
        <f>+$Q$3</f>
        <v>1.0349999999999999</v>
      </c>
      <c r="R223" s="889">
        <f t="shared" si="57"/>
        <v>1.1199953840399997</v>
      </c>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row>
    <row r="224" spans="1:247">
      <c r="A224" s="4">
        <v>8333</v>
      </c>
      <c r="B224" s="9" t="s">
        <v>236</v>
      </c>
      <c r="C224" s="10" t="s">
        <v>34</v>
      </c>
      <c r="D224" s="878" t="s">
        <v>2340</v>
      </c>
      <c r="E224" s="885"/>
      <c r="F224" s="880">
        <f t="shared" si="56"/>
        <v>1.0209999999999999</v>
      </c>
      <c r="G224" s="886">
        <f>+$G$3</f>
        <v>1.0269999999999999</v>
      </c>
      <c r="H224" s="885"/>
      <c r="I224" s="887"/>
      <c r="J224" s="887"/>
      <c r="K224" s="887"/>
      <c r="L224" s="887"/>
      <c r="M224" s="887"/>
      <c r="N224" s="886"/>
      <c r="O224" s="888"/>
      <c r="P224" s="885">
        <f>+$P$3</f>
        <v>1.032</v>
      </c>
      <c r="Q224" s="886">
        <f>+$Q$3</f>
        <v>1.0349999999999999</v>
      </c>
      <c r="R224" s="889">
        <f t="shared" si="57"/>
        <v>1.1199953840399997</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row>
    <row r="225" spans="1:247">
      <c r="A225" s="4">
        <v>8334</v>
      </c>
      <c r="B225" s="9" t="s">
        <v>238</v>
      </c>
      <c r="C225" s="10" t="s">
        <v>34</v>
      </c>
      <c r="D225" s="878" t="s">
        <v>2340</v>
      </c>
      <c r="E225" s="885"/>
      <c r="F225" s="880">
        <f t="shared" si="56"/>
        <v>1.0209999999999999</v>
      </c>
      <c r="G225" s="886">
        <f>+$G$3</f>
        <v>1.0269999999999999</v>
      </c>
      <c r="H225" s="885"/>
      <c r="I225" s="887"/>
      <c r="J225" s="887"/>
      <c r="K225" s="887"/>
      <c r="L225" s="887"/>
      <c r="M225" s="887"/>
      <c r="N225" s="886"/>
      <c r="O225" s="888"/>
      <c r="P225" s="885">
        <f>+$P$3</f>
        <v>1.032</v>
      </c>
      <c r="Q225" s="886">
        <f>+$Q$3</f>
        <v>1.0349999999999999</v>
      </c>
      <c r="R225" s="889">
        <f t="shared" si="57"/>
        <v>1.1199953840399997</v>
      </c>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row>
    <row r="226" spans="1:247">
      <c r="A226" s="4">
        <v>8412</v>
      </c>
      <c r="B226" s="9" t="s">
        <v>239</v>
      </c>
      <c r="C226" s="10" t="s">
        <v>227</v>
      </c>
      <c r="D226" s="878" t="s">
        <v>2340</v>
      </c>
      <c r="E226" s="885"/>
      <c r="F226" s="880">
        <f t="shared" si="56"/>
        <v>1.0209999999999999</v>
      </c>
      <c r="G226" s="886">
        <f>+$G$3</f>
        <v>1.0269999999999999</v>
      </c>
      <c r="H226" s="885"/>
      <c r="I226" s="887"/>
      <c r="J226" s="887"/>
      <c r="K226" s="887"/>
      <c r="L226" s="887"/>
      <c r="M226" s="887"/>
      <c r="N226" s="886"/>
      <c r="O226" s="888"/>
      <c r="P226" s="885">
        <f>+$P$3</f>
        <v>1.032</v>
      </c>
      <c r="Q226" s="886">
        <f>+$Q$3</f>
        <v>1.0349999999999999</v>
      </c>
      <c r="R226" s="889">
        <f t="shared" si="57"/>
        <v>1.1199953840399997</v>
      </c>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row>
    <row r="227" spans="1:247">
      <c r="A227" s="4">
        <v>8413</v>
      </c>
      <c r="B227" s="9" t="s">
        <v>240</v>
      </c>
      <c r="C227" s="10" t="s">
        <v>5</v>
      </c>
      <c r="D227" s="878" t="s">
        <v>2340</v>
      </c>
      <c r="E227" s="885"/>
      <c r="F227" s="880">
        <f t="shared" si="56"/>
        <v>1.0209999999999999</v>
      </c>
      <c r="G227" s="886"/>
      <c r="H227" s="885"/>
      <c r="I227" s="887"/>
      <c r="J227" s="887"/>
      <c r="K227" s="887"/>
      <c r="L227" s="887"/>
      <c r="M227" s="887"/>
      <c r="N227" s="886"/>
      <c r="O227" s="888"/>
      <c r="P227" s="885">
        <f>+$P$3</f>
        <v>1.032</v>
      </c>
      <c r="Q227" s="886">
        <f>+$Q$3</f>
        <v>1.0349999999999999</v>
      </c>
      <c r="R227" s="889">
        <f t="shared" si="57"/>
        <v>1.0905505199999999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row>
    <row r="228" spans="1:247">
      <c r="A228" s="4">
        <v>8414</v>
      </c>
      <c r="B228" s="9" t="s">
        <v>241</v>
      </c>
      <c r="C228" s="10" t="s">
        <v>227</v>
      </c>
      <c r="D228" s="878" t="s">
        <v>2340</v>
      </c>
      <c r="E228" s="885"/>
      <c r="F228" s="880">
        <f t="shared" si="56"/>
        <v>1.0209999999999999</v>
      </c>
      <c r="G228" s="886"/>
      <c r="H228" s="885"/>
      <c r="I228" s="887"/>
      <c r="J228" s="887"/>
      <c r="K228" s="887"/>
      <c r="L228" s="887"/>
      <c r="M228" s="887"/>
      <c r="N228" s="886"/>
      <c r="O228" s="888"/>
      <c r="P228" s="885"/>
      <c r="Q228" s="886"/>
      <c r="R228" s="889">
        <f t="shared" si="57"/>
        <v>1.0209999999999999</v>
      </c>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row>
    <row r="229" spans="1:247">
      <c r="A229" s="4">
        <v>8415</v>
      </c>
      <c r="B229" s="9" t="s">
        <v>242</v>
      </c>
      <c r="C229" s="10" t="s">
        <v>227</v>
      </c>
      <c r="D229" s="878" t="s">
        <v>2340</v>
      </c>
      <c r="E229" s="885"/>
      <c r="F229" s="880">
        <f t="shared" si="56"/>
        <v>1.0209999999999999</v>
      </c>
      <c r="G229" s="886">
        <f>+$G$3</f>
        <v>1.0269999999999999</v>
      </c>
      <c r="H229" s="885"/>
      <c r="I229" s="887"/>
      <c r="J229" s="887"/>
      <c r="K229" s="887"/>
      <c r="L229" s="887"/>
      <c r="M229" s="887"/>
      <c r="N229" s="886"/>
      <c r="O229" s="888"/>
      <c r="P229" s="885">
        <f t="shared" ref="P229:P237" si="60">+$P$3</f>
        <v>1.032</v>
      </c>
      <c r="Q229" s="886">
        <f t="shared" ref="Q229:Q237" si="61">+$Q$3</f>
        <v>1.0349999999999999</v>
      </c>
      <c r="R229" s="889">
        <f t="shared" si="57"/>
        <v>1.1199953840399997</v>
      </c>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row>
    <row r="230" spans="1:247">
      <c r="A230" s="4">
        <v>8421</v>
      </c>
      <c r="B230" s="9" t="s">
        <v>243</v>
      </c>
      <c r="C230" s="10" t="s">
        <v>6</v>
      </c>
      <c r="D230" s="878" t="s">
        <v>2341</v>
      </c>
      <c r="E230" s="885"/>
      <c r="F230" s="880">
        <f t="shared" si="56"/>
        <v>1.0209999999999999</v>
      </c>
      <c r="G230" s="886"/>
      <c r="H230" s="885"/>
      <c r="I230" s="887"/>
      <c r="J230" s="887"/>
      <c r="K230" s="887"/>
      <c r="L230" s="887"/>
      <c r="M230" s="887"/>
      <c r="N230" s="886"/>
      <c r="O230" s="888"/>
      <c r="P230" s="885">
        <f t="shared" si="60"/>
        <v>1.032</v>
      </c>
      <c r="Q230" s="886">
        <f t="shared" si="61"/>
        <v>1.0349999999999999</v>
      </c>
      <c r="R230" s="889">
        <f t="shared" si="57"/>
        <v>1.0905505199999999</v>
      </c>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row>
    <row r="231" spans="1:247">
      <c r="A231" s="4">
        <v>8432</v>
      </c>
      <c r="B231" s="9" t="s">
        <v>244</v>
      </c>
      <c r="C231" s="10" t="s">
        <v>6</v>
      </c>
      <c r="D231" s="878" t="s">
        <v>2341</v>
      </c>
      <c r="E231" s="885"/>
      <c r="F231" s="880">
        <f t="shared" si="56"/>
        <v>1.0209999999999999</v>
      </c>
      <c r="G231" s="886"/>
      <c r="H231" s="885"/>
      <c r="I231" s="887"/>
      <c r="J231" s="887"/>
      <c r="K231" s="887"/>
      <c r="L231" s="887"/>
      <c r="M231" s="887"/>
      <c r="N231" s="886"/>
      <c r="O231" s="888"/>
      <c r="P231" s="885">
        <f t="shared" si="60"/>
        <v>1.032</v>
      </c>
      <c r="Q231" s="886">
        <f t="shared" si="61"/>
        <v>1.0349999999999999</v>
      </c>
      <c r="R231" s="889">
        <f t="shared" si="57"/>
        <v>1.0905505199999999</v>
      </c>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row>
    <row r="232" spans="1:247">
      <c r="A232" s="4">
        <v>8441</v>
      </c>
      <c r="B232" s="9" t="s">
        <v>246</v>
      </c>
      <c r="C232" s="10" t="s">
        <v>227</v>
      </c>
      <c r="D232" s="878" t="s">
        <v>2340</v>
      </c>
      <c r="E232" s="885"/>
      <c r="F232" s="880">
        <f t="shared" si="56"/>
        <v>1.0209999999999999</v>
      </c>
      <c r="G232" s="886"/>
      <c r="H232" s="885"/>
      <c r="I232" s="887"/>
      <c r="J232" s="887"/>
      <c r="K232" s="887"/>
      <c r="L232" s="887"/>
      <c r="M232" s="887"/>
      <c r="N232" s="886"/>
      <c r="O232" s="888"/>
      <c r="P232" s="885">
        <f t="shared" si="60"/>
        <v>1.032</v>
      </c>
      <c r="Q232" s="886">
        <f t="shared" si="61"/>
        <v>1.0349999999999999</v>
      </c>
      <c r="R232" s="889">
        <f t="shared" si="57"/>
        <v>1.0905505199999999</v>
      </c>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row>
    <row r="233" spans="1:247">
      <c r="A233" s="4">
        <v>8442</v>
      </c>
      <c r="B233" s="9" t="s">
        <v>247</v>
      </c>
      <c r="C233" s="10" t="s">
        <v>5</v>
      </c>
      <c r="D233" s="878" t="s">
        <v>2340</v>
      </c>
      <c r="E233" s="885"/>
      <c r="F233" s="880">
        <f t="shared" si="56"/>
        <v>1.0209999999999999</v>
      </c>
      <c r="G233" s="886"/>
      <c r="H233" s="885"/>
      <c r="I233" s="887"/>
      <c r="J233" s="887"/>
      <c r="K233" s="887"/>
      <c r="L233" s="887"/>
      <c r="M233" s="887"/>
      <c r="N233" s="886"/>
      <c r="O233" s="888"/>
      <c r="P233" s="885">
        <f t="shared" si="60"/>
        <v>1.032</v>
      </c>
      <c r="Q233" s="886">
        <f t="shared" si="61"/>
        <v>1.0349999999999999</v>
      </c>
      <c r="R233" s="889">
        <f t="shared" si="57"/>
        <v>1.0905505199999999</v>
      </c>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row>
    <row r="234" spans="1:247">
      <c r="A234" s="4">
        <v>8511</v>
      </c>
      <c r="B234" s="9" t="s">
        <v>248</v>
      </c>
      <c r="C234" s="10" t="s">
        <v>3</v>
      </c>
      <c r="D234" s="878" t="s">
        <v>2341</v>
      </c>
      <c r="E234" s="885"/>
      <c r="F234" s="880">
        <f t="shared" si="56"/>
        <v>1.0209999999999999</v>
      </c>
      <c r="G234" s="886">
        <f>+$G$3</f>
        <v>1.0269999999999999</v>
      </c>
      <c r="H234" s="885"/>
      <c r="I234" s="887"/>
      <c r="J234" s="887"/>
      <c r="K234" s="887"/>
      <c r="L234" s="887"/>
      <c r="M234" s="887"/>
      <c r="N234" s="886"/>
      <c r="O234" s="888"/>
      <c r="P234" s="885">
        <f t="shared" si="60"/>
        <v>1.032</v>
      </c>
      <c r="Q234" s="886">
        <f t="shared" si="61"/>
        <v>1.0349999999999999</v>
      </c>
      <c r="R234" s="889">
        <f t="shared" si="57"/>
        <v>1.1199953840399997</v>
      </c>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row>
    <row r="235" spans="1:247">
      <c r="A235" s="4">
        <v>8513</v>
      </c>
      <c r="B235" s="9" t="s">
        <v>249</v>
      </c>
      <c r="C235" s="10" t="s">
        <v>3</v>
      </c>
      <c r="D235" s="878" t="s">
        <v>2340</v>
      </c>
      <c r="E235" s="885"/>
      <c r="F235" s="880">
        <f t="shared" si="56"/>
        <v>1.0209999999999999</v>
      </c>
      <c r="G235" s="886">
        <f>+$G$3</f>
        <v>1.0269999999999999</v>
      </c>
      <c r="H235" s="885"/>
      <c r="I235" s="887"/>
      <c r="J235" s="887"/>
      <c r="K235" s="887"/>
      <c r="L235" s="887"/>
      <c r="M235" s="887"/>
      <c r="N235" s="886"/>
      <c r="O235" s="888"/>
      <c r="P235" s="885">
        <f t="shared" si="60"/>
        <v>1.032</v>
      </c>
      <c r="Q235" s="886">
        <f t="shared" si="61"/>
        <v>1.0349999999999999</v>
      </c>
      <c r="R235" s="889">
        <f t="shared" si="57"/>
        <v>1.1199953840399997</v>
      </c>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row>
    <row r="236" spans="1:247">
      <c r="A236" s="4">
        <v>8514</v>
      </c>
      <c r="B236" s="9" t="s">
        <v>250</v>
      </c>
      <c r="C236" s="10" t="s">
        <v>6</v>
      </c>
      <c r="D236" s="878" t="s">
        <v>2341</v>
      </c>
      <c r="E236" s="885"/>
      <c r="F236" s="880">
        <f t="shared" si="56"/>
        <v>1.0209999999999999</v>
      </c>
      <c r="G236" s="886">
        <f>+$G$3</f>
        <v>1.0269999999999999</v>
      </c>
      <c r="H236" s="885"/>
      <c r="I236" s="887"/>
      <c r="J236" s="887"/>
      <c r="K236" s="887"/>
      <c r="L236" s="887"/>
      <c r="M236" s="887"/>
      <c r="N236" s="886"/>
      <c r="O236" s="888"/>
      <c r="P236" s="885">
        <f t="shared" si="60"/>
        <v>1.032</v>
      </c>
      <c r="Q236" s="886">
        <f t="shared" si="61"/>
        <v>1.0349999999999999</v>
      </c>
      <c r="R236" s="889">
        <f t="shared" si="57"/>
        <v>1.1199953840399997</v>
      </c>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row>
    <row r="237" spans="1:247">
      <c r="A237" s="4">
        <v>8521</v>
      </c>
      <c r="B237" s="9" t="s">
        <v>251</v>
      </c>
      <c r="C237" s="10" t="s">
        <v>3</v>
      </c>
      <c r="D237" s="878" t="s">
        <v>2341</v>
      </c>
      <c r="E237" s="885"/>
      <c r="F237" s="880">
        <f t="shared" si="56"/>
        <v>1.0209999999999999</v>
      </c>
      <c r="G237" s="886">
        <f>+$G$3</f>
        <v>1.0269999999999999</v>
      </c>
      <c r="H237" s="885"/>
      <c r="I237" s="887"/>
      <c r="J237" s="887"/>
      <c r="K237" s="887"/>
      <c r="L237" s="887"/>
      <c r="M237" s="887"/>
      <c r="N237" s="886"/>
      <c r="O237" s="888"/>
      <c r="P237" s="885">
        <f t="shared" si="60"/>
        <v>1.032</v>
      </c>
      <c r="Q237" s="886">
        <f t="shared" si="61"/>
        <v>1.0349999999999999</v>
      </c>
      <c r="R237" s="889">
        <f t="shared" si="57"/>
        <v>1.1199953840399997</v>
      </c>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row>
    <row r="238" spans="1:247">
      <c r="A238" s="4">
        <v>8522</v>
      </c>
      <c r="B238" s="9" t="s">
        <v>252</v>
      </c>
      <c r="C238" s="10" t="s">
        <v>3</v>
      </c>
      <c r="D238" s="878" t="s">
        <v>2341</v>
      </c>
      <c r="E238" s="885"/>
      <c r="F238" s="880">
        <f t="shared" si="56"/>
        <v>1.0209999999999999</v>
      </c>
      <c r="G238" s="886"/>
      <c r="H238" s="885"/>
      <c r="I238" s="887"/>
      <c r="J238" s="887"/>
      <c r="K238" s="887"/>
      <c r="L238" s="887"/>
      <c r="M238" s="887"/>
      <c r="N238" s="886"/>
      <c r="O238" s="888"/>
      <c r="P238" s="885"/>
      <c r="Q238" s="886"/>
      <c r="R238" s="889">
        <f t="shared" si="57"/>
        <v>1.0209999999999999</v>
      </c>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row>
    <row r="239" spans="1:247">
      <c r="A239" s="4">
        <v>8523</v>
      </c>
      <c r="B239" s="9" t="s">
        <v>253</v>
      </c>
      <c r="C239" s="10" t="s">
        <v>3</v>
      </c>
      <c r="D239" s="878" t="s">
        <v>2341</v>
      </c>
      <c r="E239" s="885"/>
      <c r="F239" s="880">
        <f t="shared" si="56"/>
        <v>1.0209999999999999</v>
      </c>
      <c r="G239" s="886">
        <f>+$G$3</f>
        <v>1.0269999999999999</v>
      </c>
      <c r="H239" s="885"/>
      <c r="I239" s="887"/>
      <c r="J239" s="887"/>
      <c r="K239" s="887"/>
      <c r="L239" s="887"/>
      <c r="M239" s="887"/>
      <c r="N239" s="886"/>
      <c r="O239" s="888"/>
      <c r="P239" s="885">
        <f>+$P$3</f>
        <v>1.032</v>
      </c>
      <c r="Q239" s="886">
        <f>+$Q$3</f>
        <v>1.0349999999999999</v>
      </c>
      <c r="R239" s="889">
        <f t="shared" si="57"/>
        <v>1.1199953840399997</v>
      </c>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row>
    <row r="240" spans="1:247">
      <c r="A240" s="4">
        <v>8524</v>
      </c>
      <c r="B240" s="9" t="s">
        <v>254</v>
      </c>
      <c r="C240" s="10" t="s">
        <v>3</v>
      </c>
      <c r="D240" s="878" t="s">
        <v>2340</v>
      </c>
      <c r="E240" s="885"/>
      <c r="F240" s="880">
        <f t="shared" si="56"/>
        <v>1.0209999999999999</v>
      </c>
      <c r="G240" s="886"/>
      <c r="H240" s="885"/>
      <c r="I240" s="887"/>
      <c r="J240" s="887"/>
      <c r="K240" s="887"/>
      <c r="L240" s="887"/>
      <c r="M240" s="887"/>
      <c r="N240" s="886"/>
      <c r="O240" s="888"/>
      <c r="P240" s="885"/>
      <c r="Q240" s="886"/>
      <c r="R240" s="889">
        <f t="shared" si="57"/>
        <v>1.0209999999999999</v>
      </c>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row>
    <row r="241" spans="1:247">
      <c r="A241" s="4">
        <v>8525</v>
      </c>
      <c r="B241" s="9" t="s">
        <v>255</v>
      </c>
      <c r="C241" s="10" t="s">
        <v>3</v>
      </c>
      <c r="D241" s="878" t="s">
        <v>2340</v>
      </c>
      <c r="E241" s="885"/>
      <c r="F241" s="880">
        <f t="shared" si="56"/>
        <v>1.0209999999999999</v>
      </c>
      <c r="G241" s="886"/>
      <c r="H241" s="885"/>
      <c r="I241" s="887"/>
      <c r="J241" s="887"/>
      <c r="K241" s="887"/>
      <c r="L241" s="887"/>
      <c r="M241" s="887"/>
      <c r="N241" s="886"/>
      <c r="O241" s="888"/>
      <c r="P241" s="885">
        <f t="shared" ref="P241:P247" si="62">+$P$3</f>
        <v>1.032</v>
      </c>
      <c r="Q241" s="886">
        <f t="shared" ref="Q241:Q247" si="63">+$Q$3</f>
        <v>1.0349999999999999</v>
      </c>
      <c r="R241" s="889">
        <f t="shared" si="57"/>
        <v>1.0905505199999999</v>
      </c>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row>
    <row r="242" spans="1:247">
      <c r="A242" s="4">
        <v>8526</v>
      </c>
      <c r="B242" s="9" t="s">
        <v>256</v>
      </c>
      <c r="C242" s="10" t="s">
        <v>3</v>
      </c>
      <c r="D242" s="878" t="s">
        <v>2341</v>
      </c>
      <c r="E242" s="885"/>
      <c r="F242" s="880">
        <f t="shared" si="56"/>
        <v>1.0209999999999999</v>
      </c>
      <c r="G242" s="886"/>
      <c r="H242" s="885"/>
      <c r="I242" s="887"/>
      <c r="J242" s="887"/>
      <c r="K242" s="887"/>
      <c r="L242" s="887"/>
      <c r="M242" s="887"/>
      <c r="N242" s="886"/>
      <c r="O242" s="888"/>
      <c r="P242" s="885">
        <f t="shared" si="62"/>
        <v>1.032</v>
      </c>
      <c r="Q242" s="886">
        <f t="shared" si="63"/>
        <v>1.0349999999999999</v>
      </c>
      <c r="R242" s="889">
        <f t="shared" si="57"/>
        <v>1.0905505199999999</v>
      </c>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row>
    <row r="243" spans="1:247">
      <c r="A243" s="4">
        <v>8541</v>
      </c>
      <c r="B243" s="9" t="s">
        <v>257</v>
      </c>
      <c r="C243" s="10" t="s">
        <v>10</v>
      </c>
      <c r="D243" s="878" t="s">
        <v>2340</v>
      </c>
      <c r="E243" s="885"/>
      <c r="F243" s="880">
        <f t="shared" si="56"/>
        <v>1.0209999999999999</v>
      </c>
      <c r="G243" s="886"/>
      <c r="H243" s="885"/>
      <c r="I243" s="887"/>
      <c r="J243" s="887"/>
      <c r="K243" s="887"/>
      <c r="L243" s="887"/>
      <c r="M243" s="887"/>
      <c r="N243" s="886"/>
      <c r="O243" s="888"/>
      <c r="P243" s="885">
        <f t="shared" si="62"/>
        <v>1.032</v>
      </c>
      <c r="Q243" s="886">
        <f t="shared" si="63"/>
        <v>1.0349999999999999</v>
      </c>
      <c r="R243" s="889">
        <f t="shared" si="57"/>
        <v>1.0905505199999999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row>
    <row r="244" spans="1:247">
      <c r="A244" s="4">
        <v>8601</v>
      </c>
      <c r="B244" s="9" t="s">
        <v>258</v>
      </c>
      <c r="C244" s="10" t="s">
        <v>13</v>
      </c>
      <c r="D244" s="878" t="s">
        <v>2341</v>
      </c>
      <c r="E244" s="885"/>
      <c r="F244" s="880">
        <f t="shared" si="56"/>
        <v>1.0209999999999999</v>
      </c>
      <c r="G244" s="886">
        <f>+$G$3</f>
        <v>1.0269999999999999</v>
      </c>
      <c r="H244" s="885"/>
      <c r="I244" s="887"/>
      <c r="J244" s="887"/>
      <c r="K244" s="887"/>
      <c r="L244" s="887"/>
      <c r="M244" s="887"/>
      <c r="N244" s="886"/>
      <c r="O244" s="888"/>
      <c r="P244" s="885">
        <f t="shared" si="62"/>
        <v>1.032</v>
      </c>
      <c r="Q244" s="886">
        <f t="shared" si="63"/>
        <v>1.0349999999999999</v>
      </c>
      <c r="R244" s="889">
        <f t="shared" si="57"/>
        <v>1.1199953840399997</v>
      </c>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row>
    <row r="245" spans="1:247">
      <c r="A245" s="4">
        <v>8611</v>
      </c>
      <c r="B245" s="9" t="s">
        <v>259</v>
      </c>
      <c r="C245" s="10" t="s">
        <v>6</v>
      </c>
      <c r="D245" s="878" t="s">
        <v>2340</v>
      </c>
      <c r="E245" s="885"/>
      <c r="F245" s="880">
        <f t="shared" si="56"/>
        <v>1.0209999999999999</v>
      </c>
      <c r="G245" s="886">
        <f>+$G$3</f>
        <v>1.0269999999999999</v>
      </c>
      <c r="H245" s="885"/>
      <c r="I245" s="887"/>
      <c r="J245" s="887"/>
      <c r="K245" s="887"/>
      <c r="L245" s="887"/>
      <c r="M245" s="887"/>
      <c r="N245" s="886"/>
      <c r="O245" s="888"/>
      <c r="P245" s="885">
        <f t="shared" si="62"/>
        <v>1.032</v>
      </c>
      <c r="Q245" s="886">
        <f t="shared" si="63"/>
        <v>1.0349999999999999</v>
      </c>
      <c r="R245" s="889">
        <f t="shared" si="57"/>
        <v>1.1199953840399997</v>
      </c>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row>
    <row r="246" spans="1:247">
      <c r="A246" s="4">
        <v>8612</v>
      </c>
      <c r="B246" s="9" t="s">
        <v>260</v>
      </c>
      <c r="C246" s="10" t="s">
        <v>10</v>
      </c>
      <c r="D246" s="878" t="s">
        <v>2340</v>
      </c>
      <c r="E246" s="885"/>
      <c r="F246" s="880">
        <f t="shared" si="56"/>
        <v>1.0209999999999999</v>
      </c>
      <c r="G246" s="886"/>
      <c r="H246" s="885"/>
      <c r="I246" s="887"/>
      <c r="J246" s="887"/>
      <c r="K246" s="887"/>
      <c r="L246" s="887"/>
      <c r="M246" s="887"/>
      <c r="N246" s="886"/>
      <c r="O246" s="888"/>
      <c r="P246" s="885">
        <f t="shared" si="62"/>
        <v>1.032</v>
      </c>
      <c r="Q246" s="886">
        <f t="shared" si="63"/>
        <v>1.0349999999999999</v>
      </c>
      <c r="R246" s="889">
        <f t="shared" si="57"/>
        <v>1.0905505199999999</v>
      </c>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row>
    <row r="247" spans="1:247">
      <c r="A247" s="4">
        <v>8711</v>
      </c>
      <c r="B247" s="9" t="s">
        <v>261</v>
      </c>
      <c r="C247" s="10" t="s">
        <v>6</v>
      </c>
      <c r="D247" s="878" t="s">
        <v>2341</v>
      </c>
      <c r="E247" s="885"/>
      <c r="F247" s="880">
        <f t="shared" si="56"/>
        <v>1.0209999999999999</v>
      </c>
      <c r="G247" s="886"/>
      <c r="H247" s="885"/>
      <c r="I247" s="887"/>
      <c r="J247" s="887"/>
      <c r="K247" s="887"/>
      <c r="L247" s="887"/>
      <c r="M247" s="887"/>
      <c r="N247" s="886"/>
      <c r="O247" s="888"/>
      <c r="P247" s="885">
        <f t="shared" si="62"/>
        <v>1.032</v>
      </c>
      <c r="Q247" s="886">
        <f t="shared" si="63"/>
        <v>1.0349999999999999</v>
      </c>
      <c r="R247" s="889">
        <f t="shared" si="57"/>
        <v>1.0905505199999999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row>
    <row r="248" spans="1:247">
      <c r="A248" s="4">
        <v>8712</v>
      </c>
      <c r="B248" s="9" t="s">
        <v>262</v>
      </c>
      <c r="C248" s="10" t="s">
        <v>6</v>
      </c>
      <c r="D248" s="878" t="s">
        <v>2340</v>
      </c>
      <c r="E248" s="885"/>
      <c r="F248" s="880">
        <f t="shared" si="56"/>
        <v>1.0209999999999999</v>
      </c>
      <c r="G248" s="886"/>
      <c r="H248" s="885"/>
      <c r="I248" s="887"/>
      <c r="J248" s="887"/>
      <c r="K248" s="887"/>
      <c r="L248" s="887"/>
      <c r="M248" s="887"/>
      <c r="N248" s="886"/>
      <c r="O248" s="888"/>
      <c r="P248" s="885"/>
      <c r="Q248" s="886"/>
      <c r="R248" s="889">
        <f t="shared" si="57"/>
        <v>1.0209999999999999</v>
      </c>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row>
    <row r="249" spans="1:247">
      <c r="A249" s="4">
        <v>8714</v>
      </c>
      <c r="B249" s="9" t="s">
        <v>263</v>
      </c>
      <c r="C249" s="10" t="s">
        <v>6</v>
      </c>
      <c r="D249" s="878" t="s">
        <v>2340</v>
      </c>
      <c r="E249" s="885"/>
      <c r="F249" s="880">
        <f t="shared" si="56"/>
        <v>1.0209999999999999</v>
      </c>
      <c r="G249" s="886"/>
      <c r="H249" s="885"/>
      <c r="I249" s="887"/>
      <c r="J249" s="887"/>
      <c r="K249" s="887"/>
      <c r="L249" s="887"/>
      <c r="M249" s="887"/>
      <c r="N249" s="886"/>
      <c r="O249" s="888"/>
      <c r="P249" s="885"/>
      <c r="Q249" s="886"/>
      <c r="R249" s="889">
        <f>PRODUCT(E249:Q249)</f>
        <v>1.0209999999999999</v>
      </c>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row>
    <row r="250" spans="1:247">
      <c r="A250" s="4">
        <v>8721</v>
      </c>
      <c r="B250" s="9" t="s">
        <v>264</v>
      </c>
      <c r="C250" s="10" t="s">
        <v>6</v>
      </c>
      <c r="D250" s="878" t="s">
        <v>2341</v>
      </c>
      <c r="E250" s="885"/>
      <c r="F250" s="880">
        <f t="shared" si="56"/>
        <v>1.0209999999999999</v>
      </c>
      <c r="G250" s="886"/>
      <c r="H250" s="885"/>
      <c r="I250" s="887"/>
      <c r="J250" s="887"/>
      <c r="K250" s="887"/>
      <c r="L250" s="887"/>
      <c r="M250" s="887"/>
      <c r="N250" s="886"/>
      <c r="O250" s="888"/>
      <c r="P250" s="885">
        <f>+$P$3</f>
        <v>1.032</v>
      </c>
      <c r="Q250" s="886">
        <f>+$Q$3</f>
        <v>1.0349999999999999</v>
      </c>
      <c r="R250" s="889">
        <f t="shared" si="57"/>
        <v>1.0905505199999999</v>
      </c>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row>
    <row r="251" spans="1:247">
      <c r="A251" s="4">
        <v>8722</v>
      </c>
      <c r="B251" s="9" t="s">
        <v>265</v>
      </c>
      <c r="C251" s="10" t="s">
        <v>6</v>
      </c>
      <c r="D251" s="878" t="s">
        <v>2341</v>
      </c>
      <c r="E251" s="885"/>
      <c r="F251" s="880">
        <f t="shared" si="56"/>
        <v>1.0209999999999999</v>
      </c>
      <c r="G251" s="886"/>
      <c r="H251" s="885"/>
      <c r="I251" s="887"/>
      <c r="J251" s="887"/>
      <c r="K251" s="887"/>
      <c r="L251" s="887"/>
      <c r="M251" s="887"/>
      <c r="N251" s="886"/>
      <c r="O251" s="888"/>
      <c r="P251" s="885">
        <f>+$P$3</f>
        <v>1.032</v>
      </c>
      <c r="Q251" s="886">
        <f>+$Q$3</f>
        <v>1.0349999999999999</v>
      </c>
      <c r="R251" s="889">
        <f t="shared" si="57"/>
        <v>1.0905505199999999</v>
      </c>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row>
    <row r="252" spans="1:247">
      <c r="A252" s="4">
        <v>8813</v>
      </c>
      <c r="B252" s="9" t="s">
        <v>266</v>
      </c>
      <c r="C252" s="10" t="s">
        <v>6</v>
      </c>
      <c r="D252" s="878" t="s">
        <v>2341</v>
      </c>
      <c r="E252" s="885"/>
      <c r="F252" s="880">
        <f t="shared" si="56"/>
        <v>1.0209999999999999</v>
      </c>
      <c r="G252" s="886"/>
      <c r="H252" s="885"/>
      <c r="I252" s="887"/>
      <c r="J252" s="887"/>
      <c r="K252" s="887"/>
      <c r="L252" s="887"/>
      <c r="M252" s="887"/>
      <c r="N252" s="886"/>
      <c r="O252" s="888"/>
      <c r="P252" s="885">
        <f>+$P$3</f>
        <v>1.032</v>
      </c>
      <c r="Q252" s="886">
        <f>+$Q$3</f>
        <v>1.0349999999999999</v>
      </c>
      <c r="R252" s="889">
        <f>PRODUCT(E252:Q252)</f>
        <v>1.0905505199999999</v>
      </c>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row>
    <row r="253" spans="1:247">
      <c r="A253" s="4">
        <v>8840</v>
      </c>
      <c r="B253" s="9" t="s">
        <v>2599</v>
      </c>
      <c r="C253" s="10" t="s">
        <v>10</v>
      </c>
      <c r="D253" s="878" t="s">
        <v>2340</v>
      </c>
      <c r="E253" s="885"/>
      <c r="F253" s="880">
        <v>1.0209999999999999</v>
      </c>
      <c r="G253" s="886"/>
      <c r="H253" s="885"/>
      <c r="I253" s="887"/>
      <c r="J253" s="887"/>
      <c r="K253" s="887"/>
      <c r="L253" s="887"/>
      <c r="M253" s="887"/>
      <c r="N253" s="886"/>
      <c r="O253" s="888"/>
      <c r="P253" s="885"/>
      <c r="Q253" s="886"/>
      <c r="R253" s="889">
        <f>PRODUCT(E253:Q253)</f>
        <v>1.0209999999999999</v>
      </c>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row>
    <row r="254" spans="1:247">
      <c r="A254" s="4">
        <v>8910</v>
      </c>
      <c r="B254" s="9" t="s">
        <v>267</v>
      </c>
      <c r="C254" s="10" t="s">
        <v>8</v>
      </c>
      <c r="D254" s="878" t="s">
        <v>2342</v>
      </c>
      <c r="E254" s="885"/>
      <c r="F254" s="880">
        <f t="shared" si="56"/>
        <v>1.0209999999999999</v>
      </c>
      <c r="G254" s="886">
        <f>+$G$3</f>
        <v>1.0269999999999999</v>
      </c>
      <c r="H254" s="885">
        <f>+$H$3</f>
        <v>1.0029999999999999</v>
      </c>
      <c r="I254" s="887"/>
      <c r="J254" s="887">
        <f>+$J$3</f>
        <v>1.0049999999999999</v>
      </c>
      <c r="K254" s="887"/>
      <c r="L254" s="887"/>
      <c r="M254" s="887"/>
      <c r="N254" s="886">
        <f>+$N$3</f>
        <v>1.0029999999999999</v>
      </c>
      <c r="O254" s="888"/>
      <c r="P254" s="885">
        <f>+$P$3</f>
        <v>1.032</v>
      </c>
      <c r="Q254" s="886">
        <f>+$Q$3</f>
        <v>1.0349999999999999</v>
      </c>
      <c r="R254" s="889">
        <f t="shared" si="57"/>
        <v>1.1323590634842093</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row>
    <row r="255" spans="1:247">
      <c r="A255" s="4">
        <v>8921</v>
      </c>
      <c r="B255" s="9" t="s">
        <v>268</v>
      </c>
      <c r="C255" s="10" t="s">
        <v>10</v>
      </c>
      <c r="D255" s="878" t="s">
        <v>2340</v>
      </c>
      <c r="E255" s="885"/>
      <c r="F255" s="880">
        <f t="shared" si="56"/>
        <v>1.0209999999999999</v>
      </c>
      <c r="G255" s="886">
        <f>+$G$3</f>
        <v>1.0269999999999999</v>
      </c>
      <c r="H255" s="885"/>
      <c r="I255" s="887"/>
      <c r="J255" s="887"/>
      <c r="K255" s="887"/>
      <c r="L255" s="887"/>
      <c r="M255" s="887"/>
      <c r="N255" s="886"/>
      <c r="O255" s="888"/>
      <c r="P255" s="885">
        <f>+$P$3</f>
        <v>1.032</v>
      </c>
      <c r="Q255" s="886">
        <f>+$Q$3</f>
        <v>1.0349999999999999</v>
      </c>
      <c r="R255" s="889">
        <f t="shared" si="57"/>
        <v>1.1199953840399997</v>
      </c>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row>
    <row r="256" spans="1:247">
      <c r="A256" s="4">
        <v>8922</v>
      </c>
      <c r="B256" s="9" t="s">
        <v>269</v>
      </c>
      <c r="C256" s="10" t="s">
        <v>10</v>
      </c>
      <c r="D256" s="878" t="s">
        <v>2340</v>
      </c>
      <c r="E256" s="885"/>
      <c r="F256" s="880">
        <f t="shared" si="56"/>
        <v>1.0209999999999999</v>
      </c>
      <c r="G256" s="886"/>
      <c r="H256" s="885"/>
      <c r="I256" s="887"/>
      <c r="J256" s="887"/>
      <c r="K256" s="887"/>
      <c r="L256" s="887"/>
      <c r="M256" s="887"/>
      <c r="N256" s="886"/>
      <c r="O256" s="888"/>
      <c r="P256" s="885"/>
      <c r="Q256" s="886"/>
      <c r="R256" s="889">
        <f t="shared" si="57"/>
        <v>1.0209999999999999</v>
      </c>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row>
    <row r="257" spans="1:247">
      <c r="A257" s="4">
        <v>8923</v>
      </c>
      <c r="B257" s="9" t="s">
        <v>270</v>
      </c>
      <c r="C257" s="10" t="s">
        <v>10</v>
      </c>
      <c r="D257" s="878" t="s">
        <v>2340</v>
      </c>
      <c r="E257" s="885"/>
      <c r="F257" s="880">
        <f t="shared" si="56"/>
        <v>1.0209999999999999</v>
      </c>
      <c r="G257" s="886"/>
      <c r="H257" s="885"/>
      <c r="I257" s="887"/>
      <c r="J257" s="887"/>
      <c r="K257" s="887"/>
      <c r="L257" s="887"/>
      <c r="M257" s="887"/>
      <c r="N257" s="886">
        <f>+$N$3</f>
        <v>1.0029999999999999</v>
      </c>
      <c r="O257" s="888"/>
      <c r="P257" s="885"/>
      <c r="Q257" s="886"/>
      <c r="R257" s="889">
        <f t="shared" si="57"/>
        <v>1.0240629999999997</v>
      </c>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row>
    <row r="258" spans="1:247">
      <c r="A258" s="4">
        <v>8924</v>
      </c>
      <c r="B258" s="9" t="s">
        <v>271</v>
      </c>
      <c r="C258" s="10" t="s">
        <v>10</v>
      </c>
      <c r="D258" s="878" t="s">
        <v>2340</v>
      </c>
      <c r="E258" s="885"/>
      <c r="F258" s="880">
        <f t="shared" si="56"/>
        <v>1.0209999999999999</v>
      </c>
      <c r="G258" s="886"/>
      <c r="H258" s="885"/>
      <c r="I258" s="887"/>
      <c r="J258" s="887"/>
      <c r="K258" s="887"/>
      <c r="L258" s="887"/>
      <c r="M258" s="887"/>
      <c r="N258" s="886">
        <f>+$N$3</f>
        <v>1.0029999999999999</v>
      </c>
      <c r="O258" s="888"/>
      <c r="P258" s="885"/>
      <c r="Q258" s="886"/>
      <c r="R258" s="889">
        <f t="shared" si="57"/>
        <v>1.0240629999999997</v>
      </c>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row>
    <row r="259" spans="1:247">
      <c r="A259" s="4">
        <v>8926</v>
      </c>
      <c r="B259" s="9" t="s">
        <v>272</v>
      </c>
      <c r="C259" s="10" t="s">
        <v>10</v>
      </c>
      <c r="D259" s="878" t="s">
        <v>2340</v>
      </c>
      <c r="E259" s="885"/>
      <c r="F259" s="880">
        <f t="shared" si="56"/>
        <v>1.0209999999999999</v>
      </c>
      <c r="G259" s="886">
        <f>+$G$3</f>
        <v>1.0269999999999999</v>
      </c>
      <c r="H259" s="885"/>
      <c r="I259" s="887"/>
      <c r="J259" s="887"/>
      <c r="K259" s="887"/>
      <c r="L259" s="887"/>
      <c r="M259" s="887"/>
      <c r="N259" s="886">
        <f>+$N$3</f>
        <v>1.0029999999999999</v>
      </c>
      <c r="O259" s="888"/>
      <c r="P259" s="885"/>
      <c r="Q259" s="886"/>
      <c r="R259" s="889">
        <f t="shared" si="57"/>
        <v>1.0517127009999996</v>
      </c>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row>
    <row r="260" spans="1:247">
      <c r="A260" s="4">
        <v>8927</v>
      </c>
      <c r="B260" s="9" t="s">
        <v>273</v>
      </c>
      <c r="C260" s="10" t="s">
        <v>10</v>
      </c>
      <c r="D260" s="878" t="s">
        <v>2340</v>
      </c>
      <c r="E260" s="885"/>
      <c r="F260" s="880">
        <f t="shared" si="56"/>
        <v>1.0209999999999999</v>
      </c>
      <c r="G260" s="886"/>
      <c r="H260" s="885"/>
      <c r="I260" s="887"/>
      <c r="J260" s="887"/>
      <c r="K260" s="887"/>
      <c r="L260" s="887"/>
      <c r="M260" s="887"/>
      <c r="N260" s="886"/>
      <c r="O260" s="888"/>
      <c r="P260" s="885"/>
      <c r="Q260" s="886"/>
      <c r="R260" s="889">
        <f t="shared" si="57"/>
        <v>1.0209999999999999</v>
      </c>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row>
    <row r="261" spans="1:247">
      <c r="A261" s="4">
        <v>8928</v>
      </c>
      <c r="B261" s="9" t="s">
        <v>274</v>
      </c>
      <c r="C261" s="10" t="s">
        <v>10</v>
      </c>
      <c r="D261" s="878" t="s">
        <v>2340</v>
      </c>
      <c r="E261" s="885"/>
      <c r="F261" s="880">
        <f t="shared" si="56"/>
        <v>1.0209999999999999</v>
      </c>
      <c r="G261" s="886"/>
      <c r="H261" s="885"/>
      <c r="I261" s="887"/>
      <c r="J261" s="887"/>
      <c r="K261" s="887"/>
      <c r="L261" s="887"/>
      <c r="M261" s="887"/>
      <c r="N261" s="886"/>
      <c r="O261" s="888"/>
      <c r="P261" s="885"/>
      <c r="Q261" s="886"/>
      <c r="R261" s="889">
        <f t="shared" si="57"/>
        <v>1.0209999999999999</v>
      </c>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row>
    <row r="262" spans="1:247">
      <c r="A262" s="4">
        <v>8929</v>
      </c>
      <c r="B262" s="9" t="s">
        <v>2351</v>
      </c>
      <c r="C262" s="10" t="s">
        <v>10</v>
      </c>
      <c r="D262" s="878" t="s">
        <v>2340</v>
      </c>
      <c r="E262" s="885"/>
      <c r="F262" s="880">
        <f t="shared" si="56"/>
        <v>1.0209999999999999</v>
      </c>
      <c r="G262" s="886"/>
      <c r="H262" s="885"/>
      <c r="I262" s="887"/>
      <c r="J262" s="887"/>
      <c r="K262" s="887"/>
      <c r="L262" s="887"/>
      <c r="M262" s="887"/>
      <c r="N262" s="886"/>
      <c r="O262" s="888"/>
      <c r="P262" s="885"/>
      <c r="Q262" s="886"/>
      <c r="R262" s="889">
        <f t="shared" si="57"/>
        <v>1.0209999999999999</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row>
    <row r="263" spans="1:247">
      <c r="A263" s="4">
        <v>8930</v>
      </c>
      <c r="B263" s="9" t="s">
        <v>275</v>
      </c>
      <c r="C263" s="10" t="s">
        <v>6</v>
      </c>
      <c r="D263" s="878" t="s">
        <v>2341</v>
      </c>
      <c r="E263" s="885"/>
      <c r="F263" s="880">
        <f t="shared" si="56"/>
        <v>1.0209999999999999</v>
      </c>
      <c r="G263" s="886"/>
      <c r="H263" s="885"/>
      <c r="I263" s="887"/>
      <c r="J263" s="887"/>
      <c r="K263" s="887"/>
      <c r="L263" s="887"/>
      <c r="M263" s="887"/>
      <c r="N263" s="886"/>
      <c r="O263" s="888"/>
      <c r="P263" s="885">
        <f>+$P$3</f>
        <v>1.032</v>
      </c>
      <c r="Q263" s="886">
        <f>+$Q$3</f>
        <v>1.0349999999999999</v>
      </c>
      <c r="R263" s="889">
        <f t="shared" si="57"/>
        <v>1.0905505199999999</v>
      </c>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row>
    <row r="264" spans="1:247">
      <c r="A264" s="4">
        <v>8931</v>
      </c>
      <c r="B264" s="9" t="s">
        <v>276</v>
      </c>
      <c r="C264" s="10" t="s">
        <v>6</v>
      </c>
      <c r="D264" s="878" t="s">
        <v>2341</v>
      </c>
      <c r="E264" s="885"/>
      <c r="F264" s="880">
        <f t="shared" si="56"/>
        <v>1.0209999999999999</v>
      </c>
      <c r="G264" s="886"/>
      <c r="H264" s="885"/>
      <c r="I264" s="887"/>
      <c r="J264" s="887"/>
      <c r="K264" s="887"/>
      <c r="L264" s="887"/>
      <c r="M264" s="887"/>
      <c r="N264" s="886"/>
      <c r="O264" s="888"/>
      <c r="P264" s="885">
        <f>+$P$3</f>
        <v>1.032</v>
      </c>
      <c r="Q264" s="886">
        <f>+$Q$3</f>
        <v>1.0349999999999999</v>
      </c>
      <c r="R264" s="889">
        <f t="shared" si="57"/>
        <v>1.0905505199999999</v>
      </c>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row>
    <row r="265" spans="1:247">
      <c r="A265" s="4">
        <v>8932</v>
      </c>
      <c r="B265" s="9" t="s">
        <v>2352</v>
      </c>
      <c r="C265" s="10" t="s">
        <v>6</v>
      </c>
      <c r="D265" s="878" t="s">
        <v>2341</v>
      </c>
      <c r="E265" s="885"/>
      <c r="F265" s="880">
        <f>+$F$3</f>
        <v>1.0209999999999999</v>
      </c>
      <c r="G265" s="886"/>
      <c r="H265" s="885"/>
      <c r="I265" s="887"/>
      <c r="J265" s="887"/>
      <c r="K265" s="887"/>
      <c r="L265" s="887"/>
      <c r="M265" s="887"/>
      <c r="N265" s="886"/>
      <c r="O265" s="888"/>
      <c r="P265" s="885">
        <f>+$P$3</f>
        <v>1.032</v>
      </c>
      <c r="Q265" s="886">
        <f>+$Q$3</f>
        <v>1.0349999999999999</v>
      </c>
      <c r="R265" s="889">
        <f>PRODUCT(E265:Q265)</f>
        <v>1.0905505199999999</v>
      </c>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row>
    <row r="266" spans="1:247">
      <c r="A266" s="4">
        <v>8951</v>
      </c>
      <c r="B266" s="9" t="s">
        <v>277</v>
      </c>
      <c r="C266" s="10" t="s">
        <v>5</v>
      </c>
      <c r="D266" s="878" t="s">
        <v>2340</v>
      </c>
      <c r="E266" s="885"/>
      <c r="F266" s="880">
        <f>+$F$3</f>
        <v>1.0209999999999999</v>
      </c>
      <c r="G266" s="886"/>
      <c r="H266" s="885"/>
      <c r="I266" s="887"/>
      <c r="J266" s="887"/>
      <c r="K266" s="887"/>
      <c r="L266" s="887"/>
      <c r="M266" s="887"/>
      <c r="N266" s="886"/>
      <c r="O266" s="888"/>
      <c r="P266" s="885"/>
      <c r="Q266" s="886"/>
      <c r="R266" s="889">
        <f>PRODUCT(E266:Q266)</f>
        <v>1.0209999999999999</v>
      </c>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row>
    <row r="267" spans="1:247">
      <c r="Q267" s="891"/>
      <c r="R267" s="891"/>
      <c r="S267" s="891"/>
      <c r="AS267"/>
    </row>
    <row r="268" spans="1:247">
      <c r="A268" t="s">
        <v>2353</v>
      </c>
      <c r="AS268" s="893">
        <v>2251</v>
      </c>
    </row>
    <row r="269" spans="1:247" ht="33.75" customHeight="1">
      <c r="A269" s="1764" t="s">
        <v>2354</v>
      </c>
      <c r="B269" s="1764"/>
      <c r="C269" s="1764"/>
      <c r="D269" s="1764"/>
      <c r="E269" s="1764"/>
      <c r="F269" s="1764"/>
      <c r="G269" s="1764"/>
      <c r="H269" s="1764"/>
      <c r="I269" s="1764"/>
      <c r="J269" s="1764"/>
      <c r="K269" s="1764"/>
      <c r="L269" s="1764"/>
      <c r="M269" s="1764"/>
      <c r="N269" s="1764"/>
      <c r="O269" s="1764"/>
      <c r="P269" s="1764"/>
      <c r="Q269" s="1764"/>
      <c r="R269" s="894"/>
      <c r="S269" s="891"/>
      <c r="AS269"/>
    </row>
    <row r="270" spans="1:247" ht="52.5" customHeight="1">
      <c r="A270" s="1764" t="s">
        <v>2355</v>
      </c>
      <c r="B270" s="1764"/>
      <c r="C270" s="1764"/>
      <c r="D270" s="1764"/>
      <c r="E270" s="1764"/>
      <c r="F270" s="1764"/>
      <c r="G270" s="1764"/>
      <c r="H270" s="1764"/>
      <c r="I270" s="1764"/>
      <c r="J270" s="1764"/>
      <c r="K270" s="1764"/>
      <c r="L270" s="1764"/>
      <c r="M270" s="1764"/>
      <c r="N270" s="1764"/>
      <c r="O270" s="1764"/>
      <c r="P270" s="1764"/>
      <c r="Q270" s="1764"/>
      <c r="AS270" s="893">
        <v>2261</v>
      </c>
    </row>
    <row r="271" spans="1:247" ht="16.5" customHeight="1">
      <c r="A271" s="1764" t="s">
        <v>2356</v>
      </c>
      <c r="B271" s="1764"/>
      <c r="C271" s="1764"/>
      <c r="D271" s="1764"/>
      <c r="E271" s="1764"/>
      <c r="F271" s="1764"/>
      <c r="G271" s="1764"/>
      <c r="H271" s="1764"/>
      <c r="I271" s="1764"/>
      <c r="J271" s="1764"/>
      <c r="K271" s="1764"/>
      <c r="L271" s="1764"/>
      <c r="M271" s="1764"/>
      <c r="N271" s="1764"/>
      <c r="O271" s="1764"/>
      <c r="P271" s="1764"/>
      <c r="Q271" s="1764"/>
      <c r="AS271" s="893">
        <v>2264</v>
      </c>
    </row>
    <row r="272" spans="1:247" ht="46.5" customHeight="1">
      <c r="A272" s="1764" t="s">
        <v>2357</v>
      </c>
      <c r="B272" s="1764"/>
      <c r="C272" s="1764"/>
      <c r="D272" s="1764"/>
      <c r="E272" s="1764"/>
      <c r="F272" s="1764"/>
      <c r="G272" s="1764"/>
      <c r="H272" s="1764"/>
      <c r="I272" s="1764"/>
      <c r="J272" s="1764"/>
      <c r="K272" s="1764"/>
      <c r="L272" s="1764"/>
      <c r="M272" s="1764"/>
      <c r="N272" s="1764"/>
      <c r="O272" s="1764"/>
      <c r="P272" s="1764"/>
      <c r="Q272" s="1764"/>
      <c r="AS272" s="893">
        <v>2265</v>
      </c>
    </row>
    <row r="273" spans="1:45" ht="18.75" customHeight="1">
      <c r="A273" s="1773" t="s">
        <v>2358</v>
      </c>
      <c r="B273" s="1773"/>
      <c r="C273" s="1773"/>
      <c r="D273" s="1773"/>
      <c r="E273" s="1773"/>
      <c r="F273" s="1773"/>
      <c r="G273" s="1773"/>
      <c r="H273" s="1773"/>
      <c r="I273" s="1773"/>
      <c r="J273" s="1773"/>
      <c r="K273" s="1773"/>
      <c r="L273" s="1773"/>
      <c r="M273" s="1773"/>
      <c r="N273" s="1773"/>
      <c r="O273" s="1773"/>
      <c r="P273" s="1773"/>
      <c r="Q273" s="1773"/>
      <c r="AS273" s="893">
        <v>2271</v>
      </c>
    </row>
    <row r="274" spans="1:45" ht="30.75" customHeight="1">
      <c r="A274" s="1764" t="s">
        <v>2359</v>
      </c>
      <c r="B274" s="1764"/>
      <c r="C274" s="1764"/>
      <c r="D274" s="1764"/>
      <c r="E274" s="1764"/>
      <c r="F274" s="1764"/>
      <c r="G274" s="1764"/>
      <c r="H274" s="1764"/>
      <c r="I274" s="1764"/>
      <c r="J274" s="1764"/>
      <c r="K274" s="1764"/>
      <c r="L274" s="1764"/>
      <c r="M274" s="1764"/>
      <c r="N274" s="1764"/>
      <c r="O274" s="1764"/>
      <c r="P274" s="1764"/>
      <c r="Q274" s="1764"/>
      <c r="AS274" s="893">
        <v>2281</v>
      </c>
    </row>
    <row r="275" spans="1:45" ht="30.75" customHeight="1">
      <c r="A275" s="1764" t="s">
        <v>2360</v>
      </c>
      <c r="B275" s="1764"/>
      <c r="C275" s="1764"/>
      <c r="D275" s="1764"/>
      <c r="E275" s="1764"/>
      <c r="F275" s="1764"/>
      <c r="G275" s="1764"/>
      <c r="H275" s="1764"/>
      <c r="I275" s="1764"/>
      <c r="J275" s="1764"/>
      <c r="K275" s="1764"/>
      <c r="L275" s="1764"/>
      <c r="M275" s="1764"/>
      <c r="N275" s="1764"/>
      <c r="O275" s="1764"/>
      <c r="P275" s="1764"/>
      <c r="Q275" s="1764"/>
      <c r="AS275" s="893">
        <v>2291</v>
      </c>
    </row>
    <row r="276" spans="1:45" ht="34.5" customHeight="1">
      <c r="A276" s="1764" t="s">
        <v>2361</v>
      </c>
      <c r="B276" s="1764"/>
      <c r="C276" s="1764"/>
      <c r="D276" s="1764"/>
      <c r="E276" s="1764"/>
      <c r="F276" s="1764"/>
      <c r="G276" s="1764"/>
      <c r="H276" s="1764"/>
      <c r="I276" s="1764"/>
      <c r="J276" s="1764"/>
      <c r="K276" s="1764"/>
      <c r="L276" s="1764"/>
      <c r="M276" s="1764"/>
      <c r="N276" s="1764"/>
      <c r="O276" s="1764"/>
      <c r="P276" s="1764"/>
      <c r="Q276" s="1764"/>
      <c r="AS276" s="893">
        <v>3101</v>
      </c>
    </row>
    <row r="277" spans="1:45" ht="63" customHeight="1">
      <c r="A277" s="1764" t="s">
        <v>2362</v>
      </c>
      <c r="B277" s="1764"/>
      <c r="C277" s="1764"/>
      <c r="D277" s="1764"/>
      <c r="E277" s="1764"/>
      <c r="F277" s="1764"/>
      <c r="G277" s="1764"/>
      <c r="H277" s="1764"/>
      <c r="I277" s="1764"/>
      <c r="J277" s="1764"/>
      <c r="K277" s="1764"/>
      <c r="L277" s="1764"/>
      <c r="M277" s="1764"/>
      <c r="N277" s="1764"/>
      <c r="O277" s="1764"/>
      <c r="P277" s="1764"/>
      <c r="Q277" s="1764"/>
      <c r="AS277" s="893">
        <v>3102</v>
      </c>
    </row>
    <row r="278" spans="1:45" ht="37.5" customHeight="1">
      <c r="A278" s="1764" t="s">
        <v>2363</v>
      </c>
      <c r="B278" s="1764"/>
      <c r="C278" s="1764"/>
      <c r="D278" s="1764"/>
      <c r="E278" s="1764"/>
      <c r="F278" s="1764"/>
      <c r="G278" s="1764"/>
      <c r="H278" s="1764"/>
      <c r="I278" s="1764"/>
      <c r="J278" s="1764"/>
      <c r="K278" s="1764"/>
      <c r="L278" s="1764"/>
      <c r="M278" s="1764"/>
      <c r="N278" s="1764"/>
      <c r="O278" s="1764"/>
      <c r="P278" s="1764"/>
      <c r="Q278" s="1764"/>
      <c r="AS278" s="893">
        <v>3103</v>
      </c>
    </row>
    <row r="279" spans="1:45" ht="34.5" customHeight="1">
      <c r="A279" s="1764" t="s">
        <v>2364</v>
      </c>
      <c r="B279" s="1764"/>
      <c r="C279" s="1764"/>
      <c r="D279" s="1764"/>
      <c r="E279" s="1764"/>
      <c r="F279" s="1764"/>
      <c r="G279" s="1764"/>
      <c r="H279" s="1764"/>
      <c r="I279" s="1764"/>
      <c r="J279" s="1764"/>
      <c r="K279" s="1764"/>
      <c r="L279" s="1764"/>
      <c r="M279" s="1764"/>
      <c r="N279" s="1764"/>
      <c r="O279" s="1764"/>
      <c r="P279" s="1764"/>
      <c r="Q279" s="1764"/>
      <c r="AS279" s="893">
        <v>3104</v>
      </c>
    </row>
    <row r="280" spans="1:45" ht="51.75" customHeight="1">
      <c r="A280" s="1764" t="s">
        <v>2365</v>
      </c>
      <c r="B280" s="1764"/>
      <c r="C280" s="1764"/>
      <c r="D280" s="1764"/>
      <c r="E280" s="1764"/>
      <c r="F280" s="1764"/>
      <c r="G280" s="1764"/>
      <c r="H280" s="1764"/>
      <c r="I280" s="1764"/>
      <c r="J280" s="1764"/>
      <c r="K280" s="1764"/>
      <c r="L280" s="1764"/>
      <c r="M280" s="1764"/>
      <c r="N280" s="1764"/>
      <c r="O280" s="1764"/>
      <c r="P280" s="1764"/>
      <c r="Q280" s="1764"/>
      <c r="AS280" s="893">
        <v>3111</v>
      </c>
    </row>
    <row r="281" spans="1:45" ht="18" customHeight="1">
      <c r="A281" s="1764" t="s">
        <v>2366</v>
      </c>
      <c r="B281" s="1764"/>
      <c r="C281" s="1764"/>
      <c r="D281" s="1764"/>
      <c r="E281" s="1764"/>
      <c r="F281" s="1764"/>
      <c r="G281" s="1764"/>
      <c r="H281" s="1764"/>
      <c r="I281" s="1764"/>
      <c r="J281" s="1764"/>
      <c r="K281" s="1764"/>
      <c r="L281" s="1764"/>
      <c r="M281" s="1764"/>
      <c r="N281" s="1764"/>
      <c r="O281" s="1764"/>
      <c r="P281" s="1764"/>
      <c r="Q281" s="1764"/>
      <c r="AS281" s="893">
        <v>3121</v>
      </c>
    </row>
    <row r="282" spans="1:45" ht="51" customHeight="1">
      <c r="A282" s="1764" t="s">
        <v>2367</v>
      </c>
      <c r="B282" s="1764"/>
      <c r="C282" s="1764"/>
      <c r="D282" s="1764"/>
      <c r="E282" s="1764"/>
      <c r="F282" s="1764"/>
      <c r="G282" s="1764"/>
      <c r="H282" s="1764"/>
      <c r="I282" s="1764"/>
      <c r="J282" s="1764"/>
      <c r="K282" s="1764"/>
      <c r="L282" s="1764"/>
      <c r="M282" s="1764"/>
      <c r="N282" s="1764"/>
      <c r="O282" s="1764"/>
      <c r="P282" s="1764"/>
      <c r="Q282" s="1764"/>
      <c r="AS282" s="893">
        <v>3131</v>
      </c>
    </row>
    <row r="283" spans="1:45" ht="50.25" customHeight="1">
      <c r="A283" s="1764" t="s">
        <v>2368</v>
      </c>
      <c r="B283" s="1764"/>
      <c r="C283" s="1764"/>
      <c r="D283" s="1764"/>
      <c r="E283" s="1764"/>
      <c r="F283" s="1764"/>
      <c r="G283" s="1764"/>
      <c r="H283" s="1764"/>
      <c r="I283" s="1764"/>
      <c r="J283" s="1764"/>
      <c r="K283" s="1764"/>
      <c r="L283" s="1764"/>
      <c r="M283" s="1764"/>
      <c r="N283" s="1764"/>
      <c r="O283" s="1764"/>
      <c r="P283" s="1764"/>
      <c r="Q283" s="1764"/>
      <c r="AS283" s="893">
        <v>3141</v>
      </c>
    </row>
    <row r="284" spans="1:45" ht="66.75" customHeight="1">
      <c r="A284" s="1764" t="s">
        <v>2369</v>
      </c>
      <c r="B284" s="1764"/>
      <c r="C284" s="1764"/>
      <c r="D284" s="1764"/>
      <c r="E284" s="1764"/>
      <c r="F284" s="1764"/>
      <c r="G284" s="1764"/>
      <c r="H284" s="1764"/>
      <c r="I284" s="1764"/>
      <c r="J284" s="1764"/>
      <c r="K284" s="1764"/>
      <c r="L284" s="1764"/>
      <c r="M284" s="1764"/>
      <c r="N284" s="1764"/>
      <c r="O284" s="1764"/>
      <c r="P284" s="1764"/>
      <c r="Q284" s="1764"/>
      <c r="AS284" s="893">
        <v>3151</v>
      </c>
    </row>
    <row r="285" spans="1:45" ht="70.5" customHeight="1">
      <c r="A285" s="1764" t="s">
        <v>2370</v>
      </c>
      <c r="B285" s="1764"/>
      <c r="C285" s="1764"/>
      <c r="D285" s="1764"/>
      <c r="E285" s="1764"/>
      <c r="F285" s="1764"/>
      <c r="G285" s="1764"/>
      <c r="H285" s="1764"/>
      <c r="I285" s="1764"/>
      <c r="J285" s="1764"/>
      <c r="K285" s="1764"/>
      <c r="L285" s="1764"/>
      <c r="M285" s="1764"/>
      <c r="N285" s="1764"/>
      <c r="O285" s="1764"/>
      <c r="P285" s="1764"/>
      <c r="Q285" s="1764"/>
      <c r="AS285" s="893">
        <v>3161</v>
      </c>
    </row>
    <row r="286" spans="1:45" ht="57" customHeight="1">
      <c r="A286" s="1764" t="s">
        <v>2371</v>
      </c>
      <c r="B286" s="1764"/>
      <c r="C286" s="1764"/>
      <c r="D286" s="1764"/>
      <c r="E286" s="1764"/>
      <c r="F286" s="1764"/>
      <c r="G286" s="1764"/>
      <c r="H286" s="1764"/>
      <c r="I286" s="1764"/>
      <c r="J286" s="1764"/>
      <c r="K286" s="1764"/>
      <c r="L286" s="1764"/>
      <c r="M286" s="1764"/>
      <c r="N286" s="1764"/>
      <c r="O286" s="1764"/>
      <c r="P286" s="1764"/>
      <c r="Q286" s="1764"/>
      <c r="AS286" s="893">
        <v>3171</v>
      </c>
    </row>
    <row r="287" spans="1:45" ht="46.5" customHeight="1">
      <c r="A287" s="1764" t="s">
        <v>2372</v>
      </c>
      <c r="B287" s="1764"/>
      <c r="C287" s="1764"/>
      <c r="D287" s="1764"/>
      <c r="E287" s="1764"/>
      <c r="F287" s="1764"/>
      <c r="G287" s="1764"/>
      <c r="H287" s="1764"/>
      <c r="I287" s="1764"/>
      <c r="J287" s="1764"/>
      <c r="K287" s="1764"/>
      <c r="L287" s="1764"/>
      <c r="M287" s="1764"/>
      <c r="N287" s="1764"/>
      <c r="O287" s="1764"/>
      <c r="P287" s="1764"/>
      <c r="Q287" s="1764"/>
      <c r="AS287" s="893">
        <v>3181</v>
      </c>
    </row>
    <row r="288" spans="1:45" ht="36" customHeight="1">
      <c r="A288" s="1764" t="s">
        <v>2373</v>
      </c>
      <c r="B288" s="1764"/>
      <c r="C288" s="1764"/>
      <c r="D288" s="1764"/>
      <c r="E288" s="1764"/>
      <c r="F288" s="1764"/>
      <c r="G288" s="1764"/>
      <c r="H288" s="1764"/>
      <c r="I288" s="1764"/>
      <c r="J288" s="1764"/>
      <c r="K288" s="1764"/>
      <c r="L288" s="1764"/>
      <c r="M288" s="1764"/>
      <c r="N288" s="1764"/>
      <c r="O288" s="1764"/>
      <c r="P288" s="1764"/>
      <c r="Q288" s="1764"/>
      <c r="AS288" s="893">
        <v>3191</v>
      </c>
    </row>
    <row r="289" spans="1:45" ht="36" customHeight="1">
      <c r="A289" s="26"/>
      <c r="B289" s="26"/>
      <c r="C289" s="26"/>
      <c r="D289" s="26"/>
      <c r="E289" s="26"/>
      <c r="F289" s="26"/>
      <c r="G289" s="26"/>
      <c r="H289" s="26"/>
      <c r="I289" s="26"/>
      <c r="J289" s="26"/>
      <c r="K289" s="26"/>
      <c r="L289" s="26"/>
      <c r="M289" s="26"/>
      <c r="N289" s="26"/>
      <c r="O289" s="26"/>
      <c r="P289" s="26"/>
      <c r="Q289" s="743"/>
      <c r="AS289" s="893">
        <v>3201</v>
      </c>
    </row>
    <row r="290" spans="1:45">
      <c r="A290" s="26"/>
      <c r="B290" s="26"/>
      <c r="C290" s="26"/>
      <c r="D290" s="26"/>
      <c r="E290" s="26"/>
      <c r="F290" s="26"/>
      <c r="G290" s="26"/>
      <c r="H290" s="26"/>
      <c r="I290" s="26"/>
      <c r="J290" s="26"/>
      <c r="K290" s="26"/>
      <c r="L290" s="26"/>
      <c r="M290" s="26"/>
      <c r="N290" s="26"/>
      <c r="O290" s="26"/>
      <c r="P290" s="26"/>
      <c r="Q290" s="743"/>
      <c r="AS290" s="893">
        <v>3211</v>
      </c>
    </row>
    <row r="291" spans="1:45">
      <c r="A291" s="26"/>
      <c r="B291" s="26"/>
      <c r="C291" s="26"/>
      <c r="D291" s="26"/>
      <c r="E291" s="26"/>
      <c r="F291" s="26"/>
      <c r="G291" s="26"/>
      <c r="H291" s="26"/>
      <c r="I291" s="26"/>
      <c r="J291" s="26"/>
      <c r="K291" s="26"/>
      <c r="L291" s="26"/>
      <c r="M291" s="26"/>
      <c r="N291" s="26"/>
      <c r="O291" s="26"/>
      <c r="P291" s="26"/>
      <c r="Q291" s="743"/>
      <c r="AS291" s="893">
        <v>3711</v>
      </c>
    </row>
    <row r="292" spans="1:45">
      <c r="A292" s="26"/>
      <c r="B292" s="26"/>
      <c r="C292" s="26"/>
      <c r="D292" s="26"/>
      <c r="E292" s="26"/>
      <c r="F292" s="26"/>
      <c r="G292" s="26"/>
      <c r="H292" s="26"/>
      <c r="I292" s="26"/>
      <c r="J292" s="26"/>
      <c r="K292" s="26"/>
      <c r="L292" s="26"/>
      <c r="M292" s="26"/>
      <c r="N292" s="26"/>
      <c r="O292" s="26"/>
      <c r="P292" s="26"/>
      <c r="Q292" s="743"/>
      <c r="AS292" s="893">
        <v>3712</v>
      </c>
    </row>
    <row r="293" spans="1:45">
      <c r="A293" s="26"/>
      <c r="B293" s="26"/>
      <c r="C293" s="26"/>
      <c r="D293" s="26"/>
      <c r="E293" s="26"/>
      <c r="F293" s="26"/>
      <c r="G293" s="26"/>
      <c r="H293" s="26"/>
      <c r="I293" s="26"/>
      <c r="J293" s="26"/>
      <c r="K293" s="26"/>
      <c r="L293" s="26"/>
      <c r="M293" s="26"/>
      <c r="N293" s="26"/>
      <c r="O293" s="26"/>
      <c r="P293" s="26"/>
      <c r="Q293" s="743"/>
      <c r="AS293" s="893">
        <v>3713</v>
      </c>
    </row>
    <row r="294" spans="1:45">
      <c r="A294" s="26"/>
      <c r="B294" s="26"/>
      <c r="C294" s="26"/>
      <c r="D294" s="26"/>
      <c r="E294" s="26"/>
      <c r="F294" s="26"/>
      <c r="G294" s="26"/>
      <c r="H294" s="26"/>
      <c r="I294" s="26"/>
      <c r="J294" s="26"/>
      <c r="K294" s="26"/>
      <c r="L294" s="26"/>
      <c r="M294" s="26"/>
      <c r="N294" s="26"/>
      <c r="O294" s="26"/>
      <c r="P294" s="26"/>
      <c r="Q294" s="743"/>
      <c r="AS294" s="893">
        <v>3901</v>
      </c>
    </row>
    <row r="295" spans="1:45">
      <c r="A295" s="26"/>
      <c r="B295" s="26"/>
      <c r="C295" s="26"/>
      <c r="D295" s="26"/>
      <c r="E295" s="26"/>
      <c r="F295" s="26"/>
      <c r="G295" s="26"/>
      <c r="H295" s="26"/>
      <c r="I295" s="26"/>
      <c r="J295" s="26"/>
      <c r="K295" s="26"/>
      <c r="L295" s="26"/>
      <c r="M295" s="26"/>
      <c r="N295" s="26"/>
      <c r="O295" s="26"/>
      <c r="P295" s="26"/>
      <c r="Q295" s="743"/>
      <c r="AS295" s="893">
        <v>3902</v>
      </c>
    </row>
    <row r="296" spans="1:45">
      <c r="A296" s="26"/>
      <c r="B296" s="26"/>
      <c r="C296" s="26"/>
      <c r="D296" s="26"/>
      <c r="E296" s="26"/>
      <c r="F296" s="26"/>
      <c r="G296" s="26"/>
      <c r="H296" s="26"/>
      <c r="I296" s="26"/>
      <c r="J296" s="26"/>
      <c r="K296" s="26"/>
      <c r="L296" s="26"/>
      <c r="M296" s="26"/>
      <c r="N296" s="26"/>
      <c r="O296" s="26"/>
      <c r="P296" s="26"/>
      <c r="Q296" s="743"/>
      <c r="AS296" s="893">
        <v>3903</v>
      </c>
    </row>
    <row r="297" spans="1:45">
      <c r="A297" s="26"/>
      <c r="B297" s="26"/>
      <c r="C297" s="26"/>
      <c r="D297" s="26"/>
      <c r="E297" s="26"/>
      <c r="F297" s="26"/>
      <c r="G297" s="26"/>
      <c r="H297" s="26"/>
      <c r="I297" s="26"/>
      <c r="J297" s="26"/>
      <c r="K297" s="26"/>
      <c r="L297" s="26"/>
      <c r="M297" s="26"/>
      <c r="N297" s="26"/>
      <c r="O297" s="26"/>
      <c r="P297" s="26"/>
      <c r="Q297" s="743"/>
      <c r="AS297" s="893">
        <v>3904</v>
      </c>
    </row>
    <row r="298" spans="1:45">
      <c r="A298" s="26"/>
      <c r="B298" s="26"/>
      <c r="C298" s="26"/>
      <c r="D298" s="26"/>
      <c r="E298" s="26"/>
      <c r="F298" s="26"/>
      <c r="G298" s="26"/>
      <c r="H298" s="26"/>
      <c r="I298" s="26"/>
      <c r="J298" s="26"/>
      <c r="K298" s="26"/>
      <c r="L298" s="26"/>
      <c r="M298" s="26"/>
      <c r="N298" s="26"/>
      <c r="O298" s="26"/>
      <c r="P298" s="26"/>
      <c r="Q298" s="743"/>
      <c r="AS298" s="893">
        <v>4111</v>
      </c>
    </row>
    <row r="299" spans="1:45">
      <c r="A299" s="26"/>
      <c r="B299" s="26"/>
      <c r="C299" s="26"/>
      <c r="D299" s="26"/>
      <c r="E299" s="26"/>
      <c r="F299" s="26"/>
      <c r="G299" s="26"/>
      <c r="H299" s="26"/>
      <c r="I299" s="26"/>
      <c r="J299" s="26"/>
      <c r="K299" s="26"/>
      <c r="L299" s="26"/>
      <c r="M299" s="26"/>
      <c r="N299" s="26"/>
      <c r="O299" s="26"/>
      <c r="P299" s="26"/>
      <c r="Q299" s="743"/>
      <c r="AS299" s="893">
        <v>4112</v>
      </c>
    </row>
    <row r="300" spans="1:45">
      <c r="A300" s="26"/>
      <c r="B300" s="26"/>
      <c r="C300" s="26"/>
      <c r="D300" s="26"/>
      <c r="E300" s="26"/>
      <c r="F300" s="26"/>
      <c r="G300" s="26"/>
      <c r="H300" s="26"/>
      <c r="I300" s="26"/>
      <c r="J300" s="26"/>
      <c r="K300" s="26"/>
      <c r="L300" s="26"/>
      <c r="M300" s="26"/>
      <c r="N300" s="26"/>
      <c r="O300" s="26"/>
      <c r="P300" s="26"/>
      <c r="Q300" s="743"/>
      <c r="AS300" s="893">
        <v>4113</v>
      </c>
    </row>
    <row r="301" spans="1:45">
      <c r="A301" s="26"/>
      <c r="B301" s="26"/>
      <c r="C301" s="26"/>
      <c r="D301" s="26"/>
      <c r="E301" s="26"/>
      <c r="F301" s="26"/>
      <c r="G301" s="26"/>
      <c r="H301" s="26"/>
      <c r="I301" s="26"/>
      <c r="J301" s="26"/>
      <c r="K301" s="26"/>
      <c r="L301" s="26"/>
      <c r="M301" s="26"/>
      <c r="N301" s="26"/>
      <c r="O301" s="26"/>
      <c r="P301" s="26"/>
      <c r="Q301" s="743"/>
      <c r="AS301" s="893">
        <v>4114</v>
      </c>
    </row>
    <row r="302" spans="1:45">
      <c r="A302" s="26"/>
      <c r="B302" s="26"/>
      <c r="C302" s="26"/>
      <c r="D302" s="26"/>
      <c r="E302" s="26"/>
      <c r="F302" s="26"/>
      <c r="G302" s="26"/>
      <c r="H302" s="26"/>
      <c r="I302" s="26"/>
      <c r="J302" s="26"/>
      <c r="K302" s="26"/>
      <c r="L302" s="26"/>
      <c r="M302" s="26"/>
      <c r="N302" s="26"/>
      <c r="O302" s="26"/>
      <c r="P302" s="26"/>
      <c r="Q302" s="743"/>
      <c r="AS302" s="893">
        <v>4121</v>
      </c>
    </row>
    <row r="303" spans="1:45">
      <c r="A303" s="26"/>
      <c r="B303" s="26"/>
      <c r="C303" s="26"/>
      <c r="D303" s="26"/>
      <c r="E303" s="26"/>
      <c r="F303" s="26"/>
      <c r="G303" s="26"/>
      <c r="H303" s="26"/>
      <c r="I303" s="26"/>
      <c r="J303" s="26"/>
      <c r="K303" s="26"/>
      <c r="L303" s="26"/>
      <c r="M303" s="26"/>
      <c r="N303" s="26"/>
      <c r="O303" s="26"/>
      <c r="P303" s="26"/>
      <c r="Q303" s="743"/>
      <c r="AS303" s="893">
        <v>4122</v>
      </c>
    </row>
    <row r="304" spans="1:45">
      <c r="A304" s="26"/>
      <c r="B304" s="26"/>
      <c r="C304" s="26"/>
      <c r="D304" s="26"/>
      <c r="E304" s="26"/>
      <c r="F304" s="26"/>
      <c r="G304" s="26"/>
      <c r="H304" s="26"/>
      <c r="I304" s="26"/>
      <c r="J304" s="26"/>
      <c r="K304" s="26"/>
      <c r="L304" s="26"/>
      <c r="M304" s="26"/>
      <c r="N304" s="26"/>
      <c r="O304" s="26"/>
      <c r="P304" s="26"/>
      <c r="Q304" s="743"/>
      <c r="AS304" s="893">
        <v>4211</v>
      </c>
    </row>
    <row r="305" spans="1:45">
      <c r="A305" s="26"/>
      <c r="B305" s="26"/>
      <c r="C305" s="26"/>
      <c r="D305" s="26"/>
      <c r="E305" s="26"/>
      <c r="F305" s="26"/>
      <c r="G305" s="26"/>
      <c r="H305" s="26"/>
      <c r="I305" s="26"/>
      <c r="J305" s="26"/>
      <c r="K305" s="26"/>
      <c r="L305" s="26"/>
      <c r="M305" s="26"/>
      <c r="N305" s="26"/>
      <c r="O305" s="26"/>
      <c r="P305" s="26"/>
      <c r="Q305" s="743"/>
      <c r="AS305" s="893">
        <v>4212</v>
      </c>
    </row>
    <row r="306" spans="1:45">
      <c r="A306" s="26"/>
      <c r="B306" s="26"/>
      <c r="C306" s="26"/>
      <c r="D306" s="26"/>
      <c r="E306" s="26"/>
      <c r="F306" s="26"/>
      <c r="G306" s="26"/>
      <c r="H306" s="26"/>
      <c r="I306" s="26"/>
      <c r="J306" s="26"/>
      <c r="K306" s="26"/>
      <c r="L306" s="26"/>
      <c r="M306" s="26"/>
      <c r="N306" s="26"/>
      <c r="O306" s="26"/>
      <c r="P306" s="26"/>
      <c r="Q306" s="743"/>
      <c r="AS306" s="893">
        <v>4221</v>
      </c>
    </row>
    <row r="307" spans="1:45">
      <c r="A307" s="26"/>
      <c r="B307" s="26"/>
      <c r="C307" s="26"/>
      <c r="D307" s="26"/>
      <c r="E307" s="26"/>
      <c r="F307" s="26"/>
      <c r="G307" s="26"/>
      <c r="H307" s="26"/>
      <c r="I307" s="26"/>
      <c r="J307" s="26"/>
      <c r="K307" s="26"/>
      <c r="L307" s="26"/>
      <c r="M307" s="26"/>
      <c r="N307" s="26"/>
      <c r="O307" s="26"/>
      <c r="P307" s="26"/>
      <c r="Q307" s="743"/>
      <c r="AS307" s="893">
        <v>4222</v>
      </c>
    </row>
    <row r="308" spans="1:45">
      <c r="A308" s="26"/>
      <c r="B308" s="26"/>
      <c r="C308" s="26"/>
      <c r="D308" s="26"/>
      <c r="E308" s="26"/>
      <c r="F308" s="26"/>
      <c r="G308" s="26"/>
      <c r="H308" s="26"/>
      <c r="I308" s="26"/>
      <c r="J308" s="26"/>
      <c r="K308" s="26"/>
      <c r="L308" s="26"/>
      <c r="M308" s="26"/>
      <c r="N308" s="26"/>
      <c r="O308" s="26"/>
      <c r="P308" s="26"/>
      <c r="Q308" s="743"/>
      <c r="AS308" s="893">
        <v>4231</v>
      </c>
    </row>
    <row r="309" spans="1:45">
      <c r="A309" s="26"/>
      <c r="B309" s="26"/>
      <c r="C309" s="26"/>
      <c r="D309" s="26"/>
      <c r="E309" s="26"/>
      <c r="F309" s="26"/>
      <c r="G309" s="26"/>
      <c r="H309" s="26"/>
      <c r="I309" s="26"/>
      <c r="J309" s="26"/>
      <c r="K309" s="26"/>
      <c r="L309" s="26"/>
      <c r="M309" s="26"/>
      <c r="N309" s="26"/>
      <c r="O309" s="26"/>
      <c r="P309" s="26"/>
      <c r="Q309" s="743"/>
      <c r="AS309" s="893">
        <v>4241</v>
      </c>
    </row>
    <row r="310" spans="1:45">
      <c r="A310" s="26"/>
      <c r="B310" s="26"/>
      <c r="C310" s="26"/>
      <c r="D310" s="26"/>
      <c r="E310" s="26"/>
      <c r="F310" s="26"/>
      <c r="G310" s="26"/>
      <c r="H310" s="26"/>
      <c r="I310" s="26"/>
      <c r="J310" s="26"/>
      <c r="K310" s="26"/>
      <c r="L310" s="26"/>
      <c r="M310" s="26"/>
      <c r="N310" s="26"/>
      <c r="O310" s="26"/>
      <c r="P310" s="26"/>
      <c r="Q310" s="743"/>
      <c r="AS310" s="893">
        <v>4251</v>
      </c>
    </row>
    <row r="311" spans="1:45">
      <c r="A311" s="26"/>
      <c r="B311" s="26"/>
      <c r="C311" s="26"/>
      <c r="D311" s="26"/>
      <c r="E311" s="26"/>
      <c r="F311" s="26"/>
      <c r="G311" s="26"/>
      <c r="H311" s="26"/>
      <c r="I311" s="26"/>
      <c r="J311" s="26"/>
      <c r="K311" s="26"/>
      <c r="L311" s="26"/>
      <c r="M311" s="26"/>
      <c r="N311" s="26"/>
      <c r="O311" s="26"/>
      <c r="P311" s="26"/>
      <c r="Q311" s="743"/>
      <c r="AS311" s="893">
        <v>4311</v>
      </c>
    </row>
    <row r="312" spans="1:45">
      <c r="A312" s="26"/>
      <c r="B312" s="26"/>
      <c r="C312" s="26"/>
      <c r="D312" s="26"/>
      <c r="E312" s="26"/>
      <c r="F312" s="26"/>
      <c r="G312" s="26"/>
      <c r="H312" s="26"/>
      <c r="I312" s="26"/>
      <c r="J312" s="26"/>
      <c r="K312" s="26"/>
      <c r="L312" s="26"/>
      <c r="M312" s="26"/>
      <c r="N312" s="26"/>
      <c r="O312" s="26"/>
      <c r="P312" s="26"/>
      <c r="Q312" s="743"/>
      <c r="AS312" s="893">
        <v>4321</v>
      </c>
    </row>
    <row r="313" spans="1:45">
      <c r="A313" s="26"/>
      <c r="B313" s="26"/>
      <c r="C313" s="26"/>
      <c r="D313" s="26"/>
      <c r="E313" s="26"/>
      <c r="F313" s="26"/>
      <c r="G313" s="26"/>
      <c r="H313" s="26"/>
      <c r="I313" s="26"/>
      <c r="J313" s="26"/>
      <c r="K313" s="26"/>
      <c r="L313" s="26"/>
      <c r="M313" s="26"/>
      <c r="N313" s="26"/>
      <c r="O313" s="26"/>
      <c r="P313" s="26"/>
      <c r="Q313" s="743"/>
      <c r="AS313" s="893">
        <v>4411</v>
      </c>
    </row>
    <row r="314" spans="1:45">
      <c r="A314" s="26"/>
      <c r="B314" s="26"/>
      <c r="C314" s="26"/>
      <c r="D314" s="26"/>
      <c r="E314" s="26"/>
      <c r="F314" s="26"/>
      <c r="G314" s="26"/>
      <c r="H314" s="26"/>
      <c r="I314" s="26"/>
      <c r="J314" s="26"/>
      <c r="K314" s="26"/>
      <c r="L314" s="26"/>
      <c r="M314" s="26"/>
      <c r="N314" s="26"/>
      <c r="O314" s="26"/>
      <c r="P314" s="26"/>
      <c r="Q314" s="743"/>
      <c r="AS314" s="893">
        <v>4412</v>
      </c>
    </row>
    <row r="315" spans="1:45">
      <c r="A315" s="26"/>
      <c r="B315" s="26"/>
      <c r="C315" s="26"/>
      <c r="D315" s="26"/>
      <c r="E315" s="26"/>
      <c r="F315" s="26"/>
      <c r="G315" s="26"/>
      <c r="H315" s="26"/>
      <c r="I315" s="26"/>
      <c r="J315" s="26"/>
      <c r="K315" s="26"/>
      <c r="L315" s="26"/>
      <c r="M315" s="26"/>
      <c r="N315" s="26"/>
      <c r="O315" s="26"/>
      <c r="P315" s="26"/>
      <c r="Q315" s="743"/>
      <c r="AS315" s="893">
        <v>4413</v>
      </c>
    </row>
    <row r="316" spans="1:45">
      <c r="A316" s="26"/>
      <c r="B316" s="26"/>
      <c r="C316" s="26"/>
      <c r="D316" s="26"/>
      <c r="E316" s="26"/>
      <c r="F316" s="26"/>
      <c r="G316" s="26"/>
      <c r="H316" s="26"/>
      <c r="I316" s="26"/>
      <c r="J316" s="26"/>
      <c r="K316" s="26"/>
      <c r="L316" s="26"/>
      <c r="M316" s="26"/>
      <c r="N316" s="26"/>
      <c r="O316" s="26"/>
      <c r="P316" s="26"/>
      <c r="Q316" s="743"/>
      <c r="AS316" s="893">
        <v>4414</v>
      </c>
    </row>
    <row r="317" spans="1:45">
      <c r="A317" s="26"/>
      <c r="B317" s="26"/>
      <c r="C317" s="26"/>
      <c r="D317" s="26"/>
      <c r="E317" s="26"/>
      <c r="F317" s="26"/>
      <c r="G317" s="26"/>
      <c r="H317" s="26"/>
      <c r="I317" s="26"/>
      <c r="J317" s="26"/>
      <c r="K317" s="26"/>
      <c r="L317" s="26"/>
      <c r="M317" s="26"/>
      <c r="N317" s="26"/>
      <c r="O317" s="26"/>
      <c r="P317" s="26"/>
      <c r="Q317" s="743"/>
      <c r="AS317" s="893">
        <v>4421</v>
      </c>
    </row>
    <row r="318" spans="1:45">
      <c r="A318" s="26"/>
      <c r="B318" s="26"/>
      <c r="C318" s="26"/>
      <c r="D318" s="26"/>
      <c r="E318" s="26"/>
      <c r="F318" s="26"/>
      <c r="G318" s="26"/>
      <c r="H318" s="26"/>
      <c r="I318" s="26"/>
      <c r="J318" s="26"/>
      <c r="K318" s="26"/>
      <c r="L318" s="26"/>
      <c r="M318" s="26"/>
      <c r="N318" s="26"/>
      <c r="O318" s="26"/>
      <c r="P318" s="26"/>
      <c r="Q318" s="743"/>
      <c r="AS318" s="893">
        <v>4422</v>
      </c>
    </row>
    <row r="319" spans="1:45">
      <c r="A319" s="26"/>
      <c r="B319" s="26"/>
      <c r="C319" s="26"/>
      <c r="D319" s="26"/>
      <c r="E319" s="26"/>
      <c r="F319" s="26"/>
      <c r="G319" s="26"/>
      <c r="H319" s="26"/>
      <c r="I319" s="26"/>
      <c r="J319" s="26"/>
      <c r="K319" s="26"/>
      <c r="L319" s="26"/>
      <c r="M319" s="26"/>
      <c r="N319" s="26"/>
      <c r="O319" s="26"/>
      <c r="P319" s="26"/>
      <c r="Q319" s="743"/>
      <c r="AS319" s="893">
        <v>4423</v>
      </c>
    </row>
    <row r="320" spans="1:45">
      <c r="A320" s="26"/>
      <c r="B320" s="26"/>
      <c r="C320" s="26"/>
      <c r="D320" s="26"/>
      <c r="E320" s="26"/>
      <c r="F320" s="26"/>
      <c r="G320" s="26"/>
      <c r="H320" s="26"/>
      <c r="I320" s="26"/>
      <c r="J320" s="26"/>
      <c r="K320" s="26"/>
      <c r="L320" s="26"/>
      <c r="M320" s="26"/>
      <c r="N320" s="26"/>
      <c r="O320" s="26"/>
      <c r="P320" s="26"/>
      <c r="Q320" s="743"/>
      <c r="AS320" s="893">
        <v>4424</v>
      </c>
    </row>
    <row r="321" spans="1:45">
      <c r="A321" s="26"/>
      <c r="B321" s="26"/>
      <c r="C321" s="26"/>
      <c r="D321" s="26"/>
      <c r="E321" s="26"/>
      <c r="F321" s="26"/>
      <c r="G321" s="26"/>
      <c r="H321" s="26"/>
      <c r="I321" s="26"/>
      <c r="J321" s="26"/>
      <c r="K321" s="26"/>
      <c r="L321" s="26"/>
      <c r="M321" s="26"/>
      <c r="N321" s="26"/>
      <c r="O321" s="26"/>
      <c r="P321" s="26"/>
      <c r="Q321" s="743"/>
      <c r="AS321" s="893">
        <v>4425</v>
      </c>
    </row>
    <row r="322" spans="1:45">
      <c r="A322" s="26"/>
      <c r="B322" s="26"/>
      <c r="C322" s="26"/>
      <c r="D322" s="26"/>
      <c r="E322" s="26"/>
      <c r="F322" s="26"/>
      <c r="G322" s="26"/>
      <c r="H322" s="26"/>
      <c r="I322" s="26"/>
      <c r="J322" s="26"/>
      <c r="K322" s="26"/>
      <c r="L322" s="26"/>
      <c r="M322" s="26"/>
      <c r="N322" s="26"/>
      <c r="O322" s="26"/>
      <c r="P322" s="26"/>
      <c r="Q322" s="743"/>
      <c r="AS322" s="893">
        <v>4426</v>
      </c>
    </row>
    <row r="323" spans="1:45">
      <c r="A323" s="26"/>
      <c r="B323" s="26"/>
      <c r="C323" s="26"/>
      <c r="D323" s="26"/>
      <c r="E323" s="26"/>
      <c r="F323" s="26"/>
      <c r="G323" s="26"/>
      <c r="H323" s="26"/>
      <c r="I323" s="26"/>
      <c r="J323" s="26"/>
      <c r="K323" s="26"/>
      <c r="L323" s="26"/>
      <c r="M323" s="26"/>
      <c r="N323" s="26"/>
      <c r="O323" s="26"/>
      <c r="P323" s="26"/>
      <c r="Q323" s="743"/>
      <c r="AS323" s="893">
        <v>4427</v>
      </c>
    </row>
    <row r="324" spans="1:45">
      <c r="A324" s="26"/>
      <c r="B324" s="26"/>
      <c r="C324" s="26"/>
      <c r="D324" s="26"/>
      <c r="E324" s="26"/>
      <c r="F324" s="26"/>
      <c r="G324" s="26"/>
      <c r="H324" s="26"/>
      <c r="I324" s="26"/>
      <c r="J324" s="26"/>
      <c r="K324" s="26"/>
      <c r="L324" s="26"/>
      <c r="M324" s="26"/>
      <c r="N324" s="26"/>
      <c r="O324" s="26"/>
      <c r="P324" s="26"/>
      <c r="Q324" s="743"/>
      <c r="AS324" s="893">
        <v>4428</v>
      </c>
    </row>
    <row r="325" spans="1:45">
      <c r="A325" s="26"/>
      <c r="B325" s="26"/>
      <c r="C325" s="26"/>
      <c r="D325" s="26"/>
      <c r="E325" s="26"/>
      <c r="F325" s="26"/>
      <c r="G325" s="26"/>
      <c r="H325" s="26"/>
      <c r="I325" s="26"/>
      <c r="J325" s="26"/>
      <c r="K325" s="26"/>
      <c r="L325" s="26"/>
      <c r="M325" s="26"/>
      <c r="N325" s="26"/>
      <c r="O325" s="26"/>
      <c r="P325" s="26"/>
      <c r="Q325" s="743"/>
      <c r="AS325" s="893">
        <v>4511</v>
      </c>
    </row>
    <row r="326" spans="1:45">
      <c r="A326" s="26"/>
      <c r="B326" s="26"/>
      <c r="C326" s="26"/>
      <c r="D326" s="26"/>
      <c r="E326" s="26"/>
      <c r="F326" s="26"/>
      <c r="G326" s="26"/>
      <c r="H326" s="26"/>
      <c r="I326" s="26"/>
      <c r="J326" s="26"/>
      <c r="K326" s="26"/>
      <c r="L326" s="26"/>
      <c r="M326" s="26"/>
      <c r="N326" s="26"/>
      <c r="O326" s="26"/>
      <c r="P326" s="26"/>
      <c r="Q326" s="743"/>
      <c r="AS326" s="893">
        <v>4521</v>
      </c>
    </row>
    <row r="327" spans="1:45">
      <c r="A327" s="26"/>
      <c r="B327" s="26"/>
      <c r="C327" s="26"/>
      <c r="D327" s="26"/>
      <c r="E327" s="26"/>
      <c r="F327" s="26"/>
      <c r="G327" s="26"/>
      <c r="H327" s="26"/>
      <c r="I327" s="26"/>
      <c r="J327" s="26"/>
      <c r="K327" s="26"/>
      <c r="L327" s="26"/>
      <c r="M327" s="26"/>
      <c r="N327" s="26"/>
      <c r="O327" s="26"/>
      <c r="P327" s="26"/>
      <c r="Q327" s="743"/>
      <c r="AS327" s="893">
        <v>5100</v>
      </c>
    </row>
    <row r="328" spans="1:45">
      <c r="A328" s="26"/>
      <c r="B328" s="26"/>
      <c r="C328" s="26"/>
      <c r="D328" s="26"/>
      <c r="E328" s="26"/>
      <c r="F328" s="26"/>
      <c r="G328" s="26"/>
      <c r="H328" s="26"/>
      <c r="I328" s="26"/>
      <c r="J328" s="26"/>
      <c r="K328" s="26"/>
      <c r="L328" s="26"/>
      <c r="M328" s="26"/>
      <c r="N328" s="26"/>
      <c r="O328" s="26"/>
      <c r="P328" s="26"/>
      <c r="Q328" s="743"/>
      <c r="AS328" s="893">
        <v>5302</v>
      </c>
    </row>
    <row r="329" spans="1:45">
      <c r="A329" s="26"/>
      <c r="B329" s="26"/>
      <c r="C329" s="26"/>
      <c r="D329" s="26"/>
      <c r="E329" s="26"/>
      <c r="F329" s="26"/>
      <c r="G329" s="26"/>
      <c r="H329" s="26"/>
      <c r="I329" s="26"/>
      <c r="J329" s="26"/>
      <c r="K329" s="26"/>
      <c r="L329" s="26"/>
      <c r="M329" s="26"/>
      <c r="N329" s="26"/>
      <c r="O329" s="26"/>
      <c r="P329" s="26"/>
      <c r="Q329" s="743"/>
      <c r="AS329" s="893">
        <v>5303</v>
      </c>
    </row>
    <row r="330" spans="1:45">
      <c r="A330" s="26"/>
      <c r="B330" s="26"/>
      <c r="C330" s="26"/>
      <c r="D330" s="26"/>
      <c r="E330" s="26"/>
      <c r="F330" s="26"/>
      <c r="G330" s="26"/>
      <c r="H330" s="26"/>
      <c r="I330" s="26"/>
      <c r="J330" s="26"/>
      <c r="K330" s="26"/>
      <c r="L330" s="26"/>
      <c r="M330" s="26"/>
      <c r="N330" s="26"/>
      <c r="O330" s="26"/>
      <c r="P330" s="26"/>
      <c r="Q330" s="743"/>
      <c r="AS330" s="893">
        <v>5304</v>
      </c>
    </row>
    <row r="331" spans="1:45">
      <c r="A331" s="26"/>
      <c r="B331" s="26"/>
      <c r="C331" s="26"/>
      <c r="D331" s="26"/>
      <c r="E331" s="26"/>
      <c r="F331" s="26"/>
      <c r="G331" s="26"/>
      <c r="H331" s="26"/>
      <c r="I331" s="26"/>
      <c r="J331" s="26"/>
      <c r="K331" s="26"/>
      <c r="L331" s="26"/>
      <c r="M331" s="26"/>
      <c r="N331" s="26"/>
      <c r="O331" s="26"/>
      <c r="P331" s="26"/>
      <c r="Q331" s="743"/>
      <c r="AS331" s="893">
        <v>5306</v>
      </c>
    </row>
    <row r="332" spans="1:45">
      <c r="A332" s="26"/>
      <c r="B332" s="26"/>
      <c r="C332" s="26"/>
      <c r="D332" s="26"/>
      <c r="E332" s="26"/>
      <c r="F332" s="26"/>
      <c r="G332" s="26"/>
      <c r="H332" s="26"/>
      <c r="I332" s="26"/>
      <c r="J332" s="26"/>
      <c r="K332" s="26"/>
      <c r="L332" s="26"/>
      <c r="M332" s="26"/>
      <c r="N332" s="26"/>
      <c r="O332" s="26"/>
      <c r="P332" s="26"/>
      <c r="Q332" s="743"/>
      <c r="AS332" s="893">
        <v>5307</v>
      </c>
    </row>
    <row r="333" spans="1:45">
      <c r="A333" s="26"/>
      <c r="B333" s="26"/>
      <c r="C333" s="26"/>
      <c r="D333" s="26"/>
      <c r="E333" s="26"/>
      <c r="F333" s="26"/>
      <c r="G333" s="26"/>
      <c r="H333" s="26"/>
      <c r="I333" s="26"/>
      <c r="J333" s="26"/>
      <c r="K333" s="26"/>
      <c r="L333" s="26"/>
      <c r="M333" s="26"/>
      <c r="N333" s="26"/>
      <c r="O333" s="26"/>
      <c r="P333" s="26"/>
      <c r="Q333" s="743"/>
      <c r="AS333" s="893">
        <v>5400</v>
      </c>
    </row>
    <row r="334" spans="1:45">
      <c r="A334" s="26"/>
      <c r="B334" s="26"/>
      <c r="C334" s="26"/>
      <c r="D334" s="26"/>
      <c r="E334" s="26"/>
      <c r="F334" s="26"/>
      <c r="G334" s="26"/>
      <c r="H334" s="26"/>
      <c r="I334" s="26"/>
      <c r="J334" s="26"/>
      <c r="K334" s="26"/>
      <c r="L334" s="26"/>
      <c r="M334" s="26"/>
      <c r="N334" s="26"/>
      <c r="O334" s="26"/>
      <c r="P334" s="26"/>
      <c r="Q334" s="743"/>
      <c r="AS334" s="893">
        <v>5500</v>
      </c>
    </row>
    <row r="335" spans="1:45">
      <c r="A335" s="26"/>
      <c r="B335" s="26"/>
      <c r="C335" s="26"/>
      <c r="D335" s="26"/>
      <c r="E335" s="26"/>
      <c r="F335" s="26"/>
      <c r="G335" s="26"/>
      <c r="H335" s="26"/>
      <c r="I335" s="26"/>
      <c r="J335" s="26"/>
      <c r="K335" s="26"/>
      <c r="L335" s="26"/>
      <c r="M335" s="26"/>
      <c r="N335" s="26"/>
      <c r="O335" s="26"/>
      <c r="P335" s="26"/>
      <c r="Q335" s="743"/>
      <c r="AS335" s="893">
        <v>5501</v>
      </c>
    </row>
    <row r="336" spans="1:45">
      <c r="A336" s="26"/>
      <c r="B336" s="26"/>
      <c r="C336" s="26"/>
      <c r="D336" s="26"/>
      <c r="E336" s="26"/>
      <c r="F336" s="26"/>
      <c r="G336" s="26"/>
      <c r="H336" s="26"/>
      <c r="I336" s="26"/>
      <c r="J336" s="26"/>
      <c r="K336" s="26"/>
      <c r="L336" s="26"/>
      <c r="M336" s="26"/>
      <c r="N336" s="26"/>
      <c r="O336" s="26"/>
      <c r="P336" s="26"/>
      <c r="Q336" s="743"/>
      <c r="AS336" s="893">
        <v>6100</v>
      </c>
    </row>
    <row r="337" spans="1:45">
      <c r="A337" s="26"/>
      <c r="B337" s="26"/>
      <c r="C337" s="26"/>
      <c r="D337" s="26"/>
      <c r="E337" s="26"/>
      <c r="F337" s="26"/>
      <c r="G337" s="26"/>
      <c r="H337" s="26"/>
      <c r="I337" s="26"/>
      <c r="J337" s="26"/>
      <c r="K337" s="26"/>
      <c r="L337" s="26"/>
      <c r="M337" s="26"/>
      <c r="N337" s="26"/>
      <c r="O337" s="26"/>
      <c r="P337" s="26"/>
      <c r="Q337" s="743"/>
      <c r="AS337" s="893">
        <v>6101</v>
      </c>
    </row>
    <row r="338" spans="1:45">
      <c r="A338" s="26"/>
      <c r="B338" s="26"/>
      <c r="C338" s="26"/>
      <c r="D338" s="26"/>
      <c r="E338" s="26"/>
      <c r="F338" s="26"/>
      <c r="G338" s="26"/>
      <c r="H338" s="26"/>
      <c r="I338" s="26"/>
      <c r="J338" s="26"/>
      <c r="K338" s="26"/>
      <c r="L338" s="26"/>
      <c r="M338" s="26"/>
      <c r="N338" s="26"/>
      <c r="O338" s="26"/>
      <c r="P338" s="26"/>
      <c r="Q338" s="743"/>
      <c r="AS338" s="893">
        <v>6102</v>
      </c>
    </row>
    <row r="339" spans="1:45">
      <c r="A339" s="26"/>
      <c r="B339" s="26"/>
      <c r="C339" s="26"/>
      <c r="D339" s="26"/>
      <c r="E339" s="26"/>
      <c r="F339" s="26"/>
      <c r="G339" s="26"/>
      <c r="H339" s="26"/>
      <c r="I339" s="26"/>
      <c r="J339" s="26"/>
      <c r="K339" s="26"/>
      <c r="L339" s="26"/>
      <c r="M339" s="26"/>
      <c r="N339" s="26"/>
      <c r="O339" s="26"/>
      <c r="P339" s="26"/>
      <c r="Q339" s="743"/>
      <c r="AS339" s="893">
        <v>6103</v>
      </c>
    </row>
    <row r="340" spans="1:45">
      <c r="A340" s="26"/>
      <c r="B340" s="26"/>
      <c r="C340" s="26"/>
      <c r="D340" s="26"/>
      <c r="E340" s="26"/>
      <c r="F340" s="26"/>
      <c r="G340" s="26"/>
      <c r="H340" s="26"/>
      <c r="I340" s="26"/>
      <c r="J340" s="26"/>
      <c r="K340" s="26"/>
      <c r="L340" s="26"/>
      <c r="M340" s="26"/>
      <c r="N340" s="26"/>
      <c r="O340" s="26"/>
      <c r="P340" s="26"/>
      <c r="Q340" s="743"/>
      <c r="AS340" s="893">
        <v>6104</v>
      </c>
    </row>
    <row r="341" spans="1:45">
      <c r="A341" s="26"/>
      <c r="B341" s="26"/>
      <c r="C341" s="26"/>
      <c r="D341" s="26"/>
      <c r="E341" s="26"/>
      <c r="F341" s="26"/>
      <c r="G341" s="26"/>
      <c r="H341" s="26"/>
      <c r="I341" s="26"/>
      <c r="J341" s="26"/>
      <c r="K341" s="26"/>
      <c r="L341" s="26"/>
      <c r="M341" s="26"/>
      <c r="N341" s="26"/>
      <c r="O341" s="26"/>
      <c r="P341" s="26"/>
      <c r="Q341" s="743"/>
      <c r="AS341" s="893">
        <v>6105</v>
      </c>
    </row>
    <row r="342" spans="1:45">
      <c r="A342" s="26"/>
      <c r="B342" s="26"/>
      <c r="C342" s="26"/>
      <c r="D342" s="26"/>
      <c r="E342" s="26"/>
      <c r="F342" s="26"/>
      <c r="G342" s="26"/>
      <c r="H342" s="26"/>
      <c r="I342" s="26"/>
      <c r="J342" s="26"/>
      <c r="K342" s="26"/>
      <c r="L342" s="26"/>
      <c r="M342" s="26"/>
      <c r="N342" s="26"/>
      <c r="O342" s="26"/>
      <c r="P342" s="26"/>
      <c r="Q342" s="743"/>
      <c r="AS342" s="893">
        <v>6106</v>
      </c>
    </row>
    <row r="343" spans="1:45">
      <c r="A343" s="26"/>
      <c r="B343" s="26"/>
      <c r="C343" s="26"/>
      <c r="D343" s="26"/>
      <c r="E343" s="26"/>
      <c r="F343" s="26"/>
      <c r="G343" s="26"/>
      <c r="H343" s="26"/>
      <c r="I343" s="26"/>
      <c r="J343" s="26"/>
      <c r="K343" s="26"/>
      <c r="L343" s="26"/>
      <c r="M343" s="26"/>
      <c r="N343" s="26"/>
      <c r="O343" s="26"/>
      <c r="P343" s="26"/>
      <c r="Q343" s="743"/>
      <c r="AS343" s="893">
        <v>6200</v>
      </c>
    </row>
    <row r="344" spans="1:45">
      <c r="A344" s="26"/>
      <c r="B344" s="26"/>
      <c r="C344" s="26"/>
      <c r="D344" s="26"/>
      <c r="E344" s="26"/>
      <c r="F344" s="26"/>
      <c r="G344" s="26"/>
      <c r="H344" s="26"/>
      <c r="I344" s="26"/>
      <c r="J344" s="26"/>
      <c r="K344" s="26"/>
      <c r="L344" s="26"/>
      <c r="M344" s="26"/>
      <c r="N344" s="26"/>
      <c r="O344" s="26"/>
      <c r="P344" s="26"/>
      <c r="Q344" s="743"/>
      <c r="AS344" s="893">
        <v>6201</v>
      </c>
    </row>
    <row r="345" spans="1:45">
      <c r="A345" s="26"/>
      <c r="B345" s="26"/>
      <c r="C345" s="26"/>
      <c r="D345" s="26"/>
      <c r="E345" s="26"/>
      <c r="F345" s="26"/>
      <c r="G345" s="26"/>
      <c r="H345" s="26"/>
      <c r="I345" s="26"/>
      <c r="J345" s="26"/>
      <c r="K345" s="26"/>
      <c r="L345" s="26"/>
      <c r="M345" s="26"/>
      <c r="N345" s="26"/>
      <c r="O345" s="26"/>
      <c r="P345" s="26"/>
      <c r="Q345" s="743"/>
      <c r="AS345" s="893">
        <v>6900</v>
      </c>
    </row>
    <row r="346" spans="1:45">
      <c r="A346" s="26"/>
      <c r="B346" s="26"/>
      <c r="C346" s="26"/>
      <c r="D346" s="26"/>
      <c r="E346" s="26"/>
      <c r="F346" s="26"/>
      <c r="G346" s="26"/>
      <c r="H346" s="26"/>
      <c r="I346" s="26"/>
      <c r="J346" s="26"/>
      <c r="K346" s="26"/>
      <c r="L346" s="26"/>
      <c r="M346" s="26"/>
      <c r="N346" s="26"/>
      <c r="O346" s="26"/>
      <c r="P346" s="26"/>
      <c r="Q346" s="743"/>
      <c r="AS346" s="893">
        <v>7110</v>
      </c>
    </row>
    <row r="347" spans="1:45">
      <c r="A347" s="26"/>
      <c r="B347" s="26"/>
      <c r="C347" s="26"/>
      <c r="D347" s="26"/>
      <c r="E347" s="26"/>
      <c r="F347" s="26"/>
      <c r="G347" s="26"/>
      <c r="H347" s="26"/>
      <c r="I347" s="26"/>
      <c r="J347" s="26"/>
      <c r="K347" s="26"/>
      <c r="L347" s="26"/>
      <c r="M347" s="26"/>
      <c r="N347" s="26"/>
      <c r="O347" s="26"/>
      <c r="P347" s="26"/>
      <c r="Q347" s="743"/>
      <c r="AS347" s="893">
        <v>7120</v>
      </c>
    </row>
    <row r="348" spans="1:45">
      <c r="A348" s="26"/>
      <c r="B348" s="26"/>
      <c r="C348" s="26"/>
      <c r="D348" s="26"/>
      <c r="E348" s="26"/>
      <c r="F348" s="26"/>
      <c r="G348" s="26"/>
      <c r="H348" s="26"/>
      <c r="I348" s="26"/>
      <c r="J348" s="26"/>
      <c r="K348" s="26"/>
      <c r="L348" s="26"/>
      <c r="M348" s="26"/>
      <c r="N348" s="26"/>
      <c r="O348" s="26"/>
      <c r="P348" s="26"/>
      <c r="Q348" s="743"/>
      <c r="AS348" s="893">
        <v>7130</v>
      </c>
    </row>
    <row r="349" spans="1:45">
      <c r="A349" s="26"/>
      <c r="B349" s="26"/>
      <c r="C349" s="26"/>
      <c r="D349" s="26"/>
      <c r="E349" s="26"/>
      <c r="F349" s="26"/>
      <c r="G349" s="26"/>
      <c r="H349" s="26"/>
      <c r="I349" s="26"/>
      <c r="J349" s="26"/>
      <c r="K349" s="26"/>
      <c r="L349" s="26"/>
      <c r="M349" s="26"/>
      <c r="N349" s="26"/>
      <c r="O349" s="26"/>
      <c r="P349" s="26"/>
      <c r="Q349" s="743"/>
      <c r="AS349" s="893">
        <v>7141</v>
      </c>
    </row>
    <row r="350" spans="1:45">
      <c r="A350" s="26"/>
      <c r="B350" s="26"/>
      <c r="C350" s="26"/>
      <c r="D350" s="26"/>
      <c r="E350" s="26"/>
      <c r="F350" s="26"/>
      <c r="G350" s="26"/>
      <c r="H350" s="26"/>
      <c r="I350" s="26"/>
      <c r="J350" s="26"/>
      <c r="K350" s="26"/>
      <c r="L350" s="26"/>
      <c r="M350" s="26"/>
      <c r="N350" s="26"/>
      <c r="O350" s="26"/>
      <c r="P350" s="26"/>
      <c r="Q350" s="743"/>
      <c r="AS350" s="893">
        <v>7142</v>
      </c>
    </row>
    <row r="351" spans="1:45">
      <c r="A351" s="26"/>
      <c r="B351" s="26"/>
      <c r="C351" s="26"/>
      <c r="D351" s="26"/>
      <c r="E351" s="26"/>
      <c r="F351" s="26"/>
      <c r="G351" s="26"/>
      <c r="H351" s="26"/>
      <c r="I351" s="26"/>
      <c r="J351" s="26"/>
      <c r="K351" s="26"/>
      <c r="L351" s="26"/>
      <c r="M351" s="26"/>
      <c r="N351" s="26"/>
      <c r="O351" s="26"/>
      <c r="P351" s="26"/>
      <c r="Q351" s="743"/>
      <c r="AS351" s="893">
        <v>7143</v>
      </c>
    </row>
    <row r="352" spans="1:45">
      <c r="A352" s="26"/>
      <c r="B352" s="26"/>
      <c r="C352" s="26"/>
      <c r="D352" s="26"/>
      <c r="E352" s="26"/>
      <c r="F352" s="26"/>
      <c r="G352" s="26"/>
      <c r="H352" s="26"/>
      <c r="I352" s="26"/>
      <c r="J352" s="26"/>
      <c r="K352" s="26"/>
      <c r="L352" s="26"/>
      <c r="M352" s="26"/>
      <c r="N352" s="26"/>
      <c r="O352" s="26"/>
      <c r="P352" s="26"/>
      <c r="Q352" s="743"/>
      <c r="AS352" s="893">
        <v>7145</v>
      </c>
    </row>
    <row r="353" spans="1:45">
      <c r="A353" s="26"/>
      <c r="B353" s="26"/>
      <c r="C353" s="26"/>
      <c r="D353" s="26"/>
      <c r="E353" s="26"/>
      <c r="F353" s="26"/>
      <c r="G353" s="26"/>
      <c r="H353" s="26"/>
      <c r="I353" s="26"/>
      <c r="J353" s="26"/>
      <c r="K353" s="26"/>
      <c r="L353" s="26"/>
      <c r="M353" s="26"/>
      <c r="N353" s="26"/>
      <c r="O353" s="26"/>
      <c r="P353" s="26"/>
      <c r="Q353" s="743"/>
      <c r="AS353" s="893">
        <v>7147</v>
      </c>
    </row>
    <row r="354" spans="1:45">
      <c r="A354" s="26"/>
      <c r="B354" s="26"/>
      <c r="C354" s="26"/>
      <c r="D354" s="26"/>
      <c r="E354" s="26"/>
      <c r="F354" s="26"/>
      <c r="G354" s="26"/>
      <c r="H354" s="26"/>
      <c r="I354" s="26"/>
      <c r="J354" s="26"/>
      <c r="K354" s="26"/>
      <c r="L354" s="26"/>
      <c r="M354" s="26"/>
      <c r="N354" s="26"/>
      <c r="O354" s="26"/>
      <c r="P354" s="26"/>
      <c r="Q354" s="743"/>
      <c r="AS354" s="893">
        <v>7210</v>
      </c>
    </row>
    <row r="355" spans="1:45">
      <c r="A355" s="26"/>
      <c r="B355" s="26"/>
      <c r="C355" s="26"/>
      <c r="D355" s="26"/>
      <c r="E355" s="26"/>
      <c r="F355" s="26"/>
      <c r="G355" s="26"/>
      <c r="H355" s="26"/>
      <c r="I355" s="26"/>
      <c r="J355" s="26"/>
      <c r="K355" s="26"/>
      <c r="L355" s="26"/>
      <c r="M355" s="26"/>
      <c r="N355" s="26"/>
      <c r="O355" s="26"/>
      <c r="P355" s="26"/>
      <c r="Q355" s="743"/>
      <c r="AS355" s="893">
        <v>7212</v>
      </c>
    </row>
    <row r="356" spans="1:45">
      <c r="A356" s="26"/>
      <c r="B356" s="26"/>
      <c r="C356" s="26"/>
      <c r="D356" s="26"/>
      <c r="E356" s="26"/>
      <c r="F356" s="26"/>
      <c r="G356" s="26"/>
      <c r="H356" s="26"/>
      <c r="I356" s="26"/>
      <c r="J356" s="26"/>
      <c r="K356" s="26"/>
      <c r="L356" s="26"/>
      <c r="M356" s="26"/>
      <c r="N356" s="26"/>
      <c r="O356" s="26"/>
      <c r="P356" s="26"/>
      <c r="Q356" s="743"/>
      <c r="AS356" s="893">
        <v>7213</v>
      </c>
    </row>
    <row r="357" spans="1:45">
      <c r="A357" s="26"/>
      <c r="B357" s="26"/>
      <c r="C357" s="26"/>
      <c r="D357" s="26"/>
      <c r="E357" s="26"/>
      <c r="F357" s="26"/>
      <c r="G357" s="26"/>
      <c r="H357" s="26"/>
      <c r="I357" s="26"/>
      <c r="J357" s="26"/>
      <c r="K357" s="26"/>
      <c r="L357" s="26"/>
      <c r="M357" s="26"/>
      <c r="N357" s="26"/>
      <c r="O357" s="26"/>
      <c r="P357" s="26"/>
      <c r="Q357" s="743"/>
      <c r="AS357" s="893">
        <v>7214</v>
      </c>
    </row>
    <row r="358" spans="1:45">
      <c r="A358" s="26"/>
      <c r="B358" s="26"/>
      <c r="C358" s="26"/>
      <c r="D358" s="26"/>
      <c r="E358" s="26"/>
      <c r="F358" s="26"/>
      <c r="G358" s="26"/>
      <c r="H358" s="26"/>
      <c r="I358" s="26"/>
      <c r="J358" s="26"/>
      <c r="K358" s="26"/>
      <c r="L358" s="26"/>
      <c r="M358" s="26"/>
      <c r="N358" s="26"/>
      <c r="O358" s="26"/>
      <c r="P358" s="26"/>
      <c r="Q358" s="743"/>
      <c r="AS358" s="893">
        <v>7215</v>
      </c>
    </row>
    <row r="359" spans="1:45">
      <c r="A359" s="26"/>
      <c r="B359" s="26"/>
      <c r="C359" s="26"/>
      <c r="D359" s="26"/>
      <c r="E359" s="26"/>
      <c r="F359" s="26"/>
      <c r="G359" s="26"/>
      <c r="H359" s="26"/>
      <c r="I359" s="26"/>
      <c r="J359" s="26"/>
      <c r="K359" s="26"/>
      <c r="L359" s="26"/>
      <c r="M359" s="26"/>
      <c r="N359" s="26"/>
      <c r="O359" s="26"/>
      <c r="P359" s="26"/>
      <c r="Q359" s="743"/>
      <c r="AS359" s="893">
        <v>7218</v>
      </c>
    </row>
    <row r="360" spans="1:45">
      <c r="A360" s="26"/>
      <c r="B360" s="26"/>
      <c r="C360" s="26"/>
      <c r="D360" s="26"/>
      <c r="E360" s="26"/>
      <c r="F360" s="26"/>
      <c r="G360" s="26"/>
      <c r="H360" s="26"/>
      <c r="I360" s="26"/>
      <c r="J360" s="26"/>
      <c r="K360" s="26"/>
      <c r="L360" s="26"/>
      <c r="M360" s="26"/>
      <c r="N360" s="26"/>
      <c r="O360" s="26"/>
      <c r="P360" s="26"/>
      <c r="Q360" s="743"/>
      <c r="AS360" s="893">
        <v>7220</v>
      </c>
    </row>
    <row r="361" spans="1:45">
      <c r="A361" s="26"/>
      <c r="B361" s="26"/>
      <c r="C361" s="26"/>
      <c r="D361" s="26"/>
      <c r="E361" s="26"/>
      <c r="F361" s="26"/>
      <c r="G361" s="26"/>
      <c r="H361" s="26"/>
      <c r="I361" s="26"/>
      <c r="J361" s="26"/>
      <c r="K361" s="26"/>
      <c r="L361" s="26"/>
      <c r="M361" s="26"/>
      <c r="N361" s="26"/>
      <c r="O361" s="26"/>
      <c r="P361" s="26"/>
      <c r="Q361" s="743"/>
      <c r="AS361" s="893">
        <v>7231</v>
      </c>
    </row>
    <row r="362" spans="1:45">
      <c r="A362" s="26"/>
      <c r="B362" s="26"/>
      <c r="C362" s="26"/>
      <c r="D362" s="26"/>
      <c r="E362" s="26"/>
      <c r="F362" s="26"/>
      <c r="G362" s="26"/>
      <c r="H362" s="26"/>
      <c r="I362" s="26"/>
      <c r="J362" s="26"/>
      <c r="K362" s="26"/>
      <c r="L362" s="26"/>
      <c r="M362" s="26"/>
      <c r="N362" s="26"/>
      <c r="O362" s="26"/>
      <c r="P362" s="26"/>
      <c r="Q362" s="743"/>
      <c r="AS362" s="893">
        <v>7232</v>
      </c>
    </row>
    <row r="363" spans="1:45">
      <c r="A363" s="26"/>
      <c r="B363" s="26"/>
      <c r="C363" s="26"/>
      <c r="D363" s="26"/>
      <c r="E363" s="26"/>
      <c r="F363" s="26"/>
      <c r="G363" s="26"/>
      <c r="H363" s="26"/>
      <c r="I363" s="26"/>
      <c r="J363" s="26"/>
      <c r="K363" s="26"/>
      <c r="L363" s="26"/>
      <c r="M363" s="26"/>
      <c r="N363" s="26"/>
      <c r="O363" s="26"/>
      <c r="P363" s="26"/>
      <c r="Q363" s="743"/>
      <c r="AS363" s="893">
        <v>7233</v>
      </c>
    </row>
    <row r="364" spans="1:45">
      <c r="A364" s="26"/>
      <c r="B364" s="26"/>
      <c r="C364" s="26"/>
      <c r="D364" s="26"/>
      <c r="E364" s="26"/>
      <c r="F364" s="26"/>
      <c r="G364" s="26"/>
      <c r="H364" s="26"/>
      <c r="I364" s="26"/>
      <c r="J364" s="26"/>
      <c r="K364" s="26"/>
      <c r="L364" s="26"/>
      <c r="M364" s="26"/>
      <c r="N364" s="26"/>
      <c r="O364" s="26"/>
      <c r="P364" s="26"/>
      <c r="Q364" s="743"/>
      <c r="AS364" s="893">
        <v>7234</v>
      </c>
    </row>
    <row r="365" spans="1:45">
      <c r="A365" s="26"/>
      <c r="B365" s="26"/>
      <c r="C365" s="26"/>
      <c r="D365" s="26"/>
      <c r="E365" s="26"/>
      <c r="F365" s="26"/>
      <c r="G365" s="26"/>
      <c r="H365" s="26"/>
      <c r="I365" s="26"/>
      <c r="J365" s="26"/>
      <c r="K365" s="26"/>
      <c r="L365" s="26"/>
      <c r="M365" s="26"/>
      <c r="N365" s="26"/>
      <c r="O365" s="26"/>
      <c r="P365" s="26"/>
      <c r="Q365" s="743"/>
      <c r="AS365" s="893">
        <v>7235</v>
      </c>
    </row>
    <row r="366" spans="1:45">
      <c r="A366" s="26"/>
      <c r="B366" s="26"/>
      <c r="C366" s="26"/>
      <c r="D366" s="26"/>
      <c r="E366" s="26"/>
      <c r="F366" s="26"/>
      <c r="G366" s="26"/>
      <c r="H366" s="26"/>
      <c r="I366" s="26"/>
      <c r="J366" s="26"/>
      <c r="K366" s="26"/>
      <c r="L366" s="26"/>
      <c r="M366" s="26"/>
      <c r="N366" s="26"/>
      <c r="O366" s="26"/>
      <c r="P366" s="26"/>
      <c r="Q366" s="743"/>
      <c r="AS366" s="893">
        <v>7236</v>
      </c>
    </row>
    <row r="367" spans="1:45">
      <c r="A367" s="26"/>
      <c r="B367" s="26"/>
      <c r="C367" s="26"/>
      <c r="D367" s="26"/>
      <c r="E367" s="26"/>
      <c r="F367" s="26"/>
      <c r="G367" s="26"/>
      <c r="H367" s="26"/>
      <c r="I367" s="26"/>
      <c r="J367" s="26"/>
      <c r="K367" s="26"/>
      <c r="L367" s="26"/>
      <c r="M367" s="26"/>
      <c r="N367" s="26"/>
      <c r="O367" s="26"/>
      <c r="P367" s="26"/>
      <c r="Q367" s="743"/>
      <c r="AS367" s="893">
        <v>7240</v>
      </c>
    </row>
    <row r="368" spans="1:45">
      <c r="A368" s="26"/>
      <c r="B368" s="26"/>
      <c r="C368" s="26"/>
      <c r="D368" s="26"/>
      <c r="E368" s="26"/>
      <c r="F368" s="26"/>
      <c r="G368" s="26"/>
      <c r="H368" s="26"/>
      <c r="I368" s="26"/>
      <c r="J368" s="26"/>
      <c r="K368" s="26"/>
      <c r="L368" s="26"/>
      <c r="M368" s="26"/>
      <c r="N368" s="26"/>
      <c r="O368" s="26"/>
      <c r="P368" s="26"/>
      <c r="Q368" s="743"/>
      <c r="AS368" s="893">
        <v>7241</v>
      </c>
    </row>
    <row r="369" spans="1:45">
      <c r="A369" s="26"/>
      <c r="B369" s="26"/>
      <c r="C369" s="26"/>
      <c r="D369" s="26"/>
      <c r="E369" s="26"/>
      <c r="F369" s="26"/>
      <c r="G369" s="26"/>
      <c r="H369" s="26"/>
      <c r="I369" s="26"/>
      <c r="J369" s="26"/>
      <c r="K369" s="26"/>
      <c r="L369" s="26"/>
      <c r="M369" s="26"/>
      <c r="N369" s="26"/>
      <c r="O369" s="26"/>
      <c r="P369" s="26"/>
      <c r="Q369" s="743"/>
      <c r="AS369" s="893">
        <v>7242</v>
      </c>
    </row>
    <row r="370" spans="1:45">
      <c r="A370" s="26"/>
      <c r="B370" s="26"/>
      <c r="C370" s="26"/>
      <c r="D370" s="26"/>
      <c r="E370" s="26"/>
      <c r="F370" s="26"/>
      <c r="G370" s="26"/>
      <c r="H370" s="26"/>
      <c r="I370" s="26"/>
      <c r="J370" s="26"/>
      <c r="K370" s="26"/>
      <c r="L370" s="26"/>
      <c r="M370" s="26"/>
      <c r="N370" s="26"/>
      <c r="O370" s="26"/>
      <c r="P370" s="26"/>
      <c r="Q370" s="743"/>
      <c r="AS370" s="893">
        <v>7250</v>
      </c>
    </row>
    <row r="371" spans="1:45">
      <c r="A371" s="26"/>
      <c r="B371" s="26"/>
      <c r="C371" s="26"/>
      <c r="D371" s="26"/>
      <c r="E371" s="26"/>
      <c r="F371" s="26"/>
      <c r="G371" s="26"/>
      <c r="H371" s="26"/>
      <c r="I371" s="26"/>
      <c r="J371" s="26"/>
      <c r="K371" s="26"/>
      <c r="L371" s="26"/>
      <c r="M371" s="26"/>
      <c r="N371" s="26"/>
      <c r="O371" s="26"/>
      <c r="P371" s="26"/>
      <c r="Q371" s="743"/>
      <c r="AS371" s="893">
        <v>7251</v>
      </c>
    </row>
    <row r="372" spans="1:45">
      <c r="A372" s="26"/>
      <c r="B372" s="26"/>
      <c r="C372" s="26"/>
      <c r="D372" s="26"/>
      <c r="E372" s="26"/>
      <c r="F372" s="26"/>
      <c r="G372" s="26"/>
      <c r="H372" s="26"/>
      <c r="I372" s="26"/>
      <c r="J372" s="26"/>
      <c r="K372" s="26"/>
      <c r="L372" s="26"/>
      <c r="M372" s="26"/>
      <c r="N372" s="26"/>
      <c r="O372" s="26"/>
      <c r="P372" s="26"/>
      <c r="Q372" s="743"/>
      <c r="AS372" s="893">
        <v>7311</v>
      </c>
    </row>
    <row r="373" spans="1:45">
      <c r="A373" s="26"/>
      <c r="B373" s="26"/>
      <c r="C373" s="26"/>
      <c r="D373" s="26"/>
      <c r="E373" s="26"/>
      <c r="F373" s="26"/>
      <c r="G373" s="26"/>
      <c r="H373" s="26"/>
      <c r="I373" s="26"/>
      <c r="J373" s="26"/>
      <c r="K373" s="26"/>
      <c r="L373" s="26"/>
      <c r="M373" s="26"/>
      <c r="N373" s="26"/>
      <c r="O373" s="26"/>
      <c r="P373" s="26"/>
      <c r="Q373" s="743"/>
      <c r="AS373" s="893">
        <v>7312</v>
      </c>
    </row>
    <row r="374" spans="1:45">
      <c r="A374" s="26"/>
      <c r="B374" s="26"/>
      <c r="C374" s="26"/>
      <c r="D374" s="26"/>
      <c r="E374" s="26"/>
      <c r="F374" s="26"/>
      <c r="G374" s="26"/>
      <c r="H374" s="26"/>
      <c r="I374" s="26"/>
      <c r="J374" s="26"/>
      <c r="K374" s="26"/>
      <c r="L374" s="26"/>
      <c r="M374" s="26"/>
      <c r="N374" s="26"/>
      <c r="O374" s="26"/>
      <c r="P374" s="26"/>
      <c r="Q374" s="743"/>
      <c r="AS374" s="893">
        <v>7313</v>
      </c>
    </row>
    <row r="375" spans="1:45">
      <c r="A375" s="26"/>
      <c r="B375" s="26"/>
      <c r="C375" s="26"/>
      <c r="D375" s="26"/>
      <c r="E375" s="26"/>
      <c r="F375" s="26"/>
      <c r="G375" s="26"/>
      <c r="H375" s="26"/>
      <c r="I375" s="26"/>
      <c r="J375" s="26"/>
      <c r="K375" s="26"/>
      <c r="L375" s="26"/>
      <c r="M375" s="26"/>
      <c r="N375" s="26"/>
      <c r="O375" s="26"/>
      <c r="P375" s="26"/>
      <c r="Q375" s="743"/>
      <c r="AS375" s="893">
        <v>7314</v>
      </c>
    </row>
    <row r="376" spans="1:45">
      <c r="A376" s="26"/>
      <c r="B376" s="26"/>
      <c r="C376" s="26"/>
      <c r="D376" s="26"/>
      <c r="E376" s="26"/>
      <c r="F376" s="26"/>
      <c r="G376" s="26"/>
      <c r="H376" s="26"/>
      <c r="I376" s="26"/>
      <c r="J376" s="26"/>
      <c r="K376" s="26"/>
      <c r="L376" s="26"/>
      <c r="M376" s="26"/>
      <c r="N376" s="26"/>
      <c r="O376" s="26"/>
      <c r="P376" s="26"/>
      <c r="Q376" s="743"/>
      <c r="AS376" s="893">
        <v>7321</v>
      </c>
    </row>
    <row r="377" spans="1:45">
      <c r="A377" s="26"/>
      <c r="B377" s="26"/>
      <c r="C377" s="26"/>
      <c r="D377" s="26"/>
      <c r="E377" s="26"/>
      <c r="F377" s="26"/>
      <c r="G377" s="26"/>
      <c r="H377" s="26"/>
      <c r="I377" s="26"/>
      <c r="J377" s="26"/>
      <c r="K377" s="26"/>
      <c r="L377" s="26"/>
      <c r="M377" s="26"/>
      <c r="N377" s="26"/>
      <c r="O377" s="26"/>
      <c r="P377" s="26"/>
      <c r="Q377" s="743"/>
      <c r="AS377" s="893">
        <v>7322</v>
      </c>
    </row>
    <row r="378" spans="1:45">
      <c r="A378" s="26"/>
      <c r="B378" s="26"/>
      <c r="C378" s="26"/>
      <c r="D378" s="26"/>
      <c r="E378" s="26"/>
      <c r="F378" s="26"/>
      <c r="G378" s="26"/>
      <c r="H378" s="26"/>
      <c r="I378" s="26"/>
      <c r="J378" s="26"/>
      <c r="K378" s="26"/>
      <c r="L378" s="26"/>
      <c r="M378" s="26"/>
      <c r="N378" s="26"/>
      <c r="O378" s="26"/>
      <c r="P378" s="26"/>
      <c r="Q378" s="743"/>
      <c r="AS378" s="893">
        <v>7323</v>
      </c>
    </row>
    <row r="379" spans="1:45">
      <c r="A379" s="26"/>
      <c r="B379" s="26"/>
      <c r="C379" s="26"/>
      <c r="D379" s="26"/>
      <c r="E379" s="26"/>
      <c r="F379" s="26"/>
      <c r="G379" s="26"/>
      <c r="H379" s="26"/>
      <c r="I379" s="26"/>
      <c r="J379" s="26"/>
      <c r="K379" s="26"/>
      <c r="L379" s="26"/>
      <c r="M379" s="26"/>
      <c r="N379" s="26"/>
      <c r="O379" s="26"/>
      <c r="P379" s="26"/>
      <c r="Q379" s="743"/>
      <c r="AS379" s="893">
        <v>7331</v>
      </c>
    </row>
    <row r="380" spans="1:45">
      <c r="A380" s="26"/>
      <c r="B380" s="26"/>
      <c r="C380" s="26"/>
      <c r="D380" s="26"/>
      <c r="E380" s="26"/>
      <c r="F380" s="26"/>
      <c r="G380" s="26"/>
      <c r="H380" s="26"/>
      <c r="I380" s="26"/>
      <c r="J380" s="26"/>
      <c r="K380" s="26"/>
      <c r="L380" s="26"/>
      <c r="M380" s="26"/>
      <c r="N380" s="26"/>
      <c r="O380" s="26"/>
      <c r="P380" s="26"/>
      <c r="Q380" s="743"/>
      <c r="AS380" s="893">
        <v>7332</v>
      </c>
    </row>
    <row r="381" spans="1:45">
      <c r="A381" s="26"/>
      <c r="B381" s="26"/>
      <c r="C381" s="26"/>
      <c r="D381" s="26"/>
      <c r="E381" s="26"/>
      <c r="F381" s="26"/>
      <c r="G381" s="26"/>
      <c r="H381" s="26"/>
      <c r="I381" s="26"/>
      <c r="J381" s="26"/>
      <c r="K381" s="26"/>
      <c r="L381" s="26"/>
      <c r="M381" s="26"/>
      <c r="N381" s="26"/>
      <c r="O381" s="26"/>
      <c r="P381" s="26"/>
      <c r="Q381" s="743"/>
      <c r="AS381" s="893">
        <v>7333</v>
      </c>
    </row>
    <row r="382" spans="1:45">
      <c r="A382" s="26"/>
      <c r="B382" s="26"/>
      <c r="C382" s="26"/>
      <c r="D382" s="26"/>
      <c r="E382" s="26"/>
      <c r="F382" s="26"/>
      <c r="G382" s="26"/>
      <c r="H382" s="26"/>
      <c r="I382" s="26"/>
      <c r="J382" s="26"/>
      <c r="K382" s="26"/>
      <c r="L382" s="26"/>
      <c r="M382" s="26"/>
      <c r="N382" s="26"/>
      <c r="O382" s="26"/>
      <c r="P382" s="26"/>
      <c r="Q382" s="743"/>
      <c r="AS382" s="893">
        <v>7340</v>
      </c>
    </row>
    <row r="383" spans="1:45">
      <c r="A383" s="26"/>
      <c r="B383" s="26"/>
      <c r="C383" s="26"/>
      <c r="D383" s="26"/>
      <c r="E383" s="26"/>
      <c r="F383" s="26"/>
      <c r="G383" s="26"/>
      <c r="H383" s="26"/>
      <c r="I383" s="26"/>
      <c r="J383" s="26"/>
      <c r="K383" s="26"/>
      <c r="L383" s="26"/>
      <c r="M383" s="26"/>
      <c r="N383" s="26"/>
      <c r="O383" s="26"/>
      <c r="P383" s="26"/>
      <c r="Q383" s="743"/>
      <c r="AS383" s="893">
        <v>7341</v>
      </c>
    </row>
    <row r="384" spans="1:45">
      <c r="A384" s="26"/>
      <c r="B384" s="26"/>
      <c r="C384" s="26"/>
      <c r="D384" s="26"/>
      <c r="E384" s="26"/>
      <c r="F384" s="26"/>
      <c r="G384" s="26"/>
      <c r="H384" s="26"/>
      <c r="I384" s="26"/>
      <c r="J384" s="26"/>
      <c r="K384" s="26"/>
      <c r="L384" s="26"/>
      <c r="M384" s="26"/>
      <c r="N384" s="26"/>
      <c r="O384" s="26"/>
      <c r="P384" s="26"/>
      <c r="Q384" s="743"/>
      <c r="AS384" s="893">
        <v>7342</v>
      </c>
    </row>
    <row r="385" spans="1:45">
      <c r="A385" s="26"/>
      <c r="B385" s="26"/>
      <c r="C385" s="26"/>
      <c r="D385" s="26"/>
      <c r="E385" s="26"/>
      <c r="F385" s="26"/>
      <c r="G385" s="26"/>
      <c r="H385" s="26"/>
      <c r="I385" s="26"/>
      <c r="J385" s="26"/>
      <c r="K385" s="26"/>
      <c r="L385" s="26"/>
      <c r="M385" s="26"/>
      <c r="N385" s="26"/>
      <c r="O385" s="26"/>
      <c r="P385" s="26"/>
      <c r="Q385" s="743"/>
      <c r="AS385" s="893">
        <v>7343</v>
      </c>
    </row>
    <row r="386" spans="1:45">
      <c r="A386" s="26"/>
      <c r="B386" s="26"/>
      <c r="C386" s="26"/>
      <c r="D386" s="26"/>
      <c r="E386" s="26"/>
      <c r="F386" s="26"/>
      <c r="G386" s="26"/>
      <c r="H386" s="26"/>
      <c r="I386" s="26"/>
      <c r="J386" s="26"/>
      <c r="K386" s="26"/>
      <c r="L386" s="26"/>
      <c r="M386" s="26"/>
      <c r="N386" s="26"/>
      <c r="O386" s="26"/>
      <c r="P386" s="26"/>
      <c r="Q386" s="743"/>
      <c r="AS386" s="893">
        <v>7344</v>
      </c>
    </row>
    <row r="387" spans="1:45">
      <c r="A387" s="26"/>
      <c r="B387" s="26"/>
      <c r="C387" s="26"/>
      <c r="D387" s="26"/>
      <c r="E387" s="26"/>
      <c r="F387" s="26"/>
      <c r="G387" s="26"/>
      <c r="H387" s="26"/>
      <c r="I387" s="26"/>
      <c r="J387" s="26"/>
      <c r="K387" s="26"/>
      <c r="L387" s="26"/>
      <c r="M387" s="26"/>
      <c r="N387" s="26"/>
      <c r="O387" s="26"/>
      <c r="P387" s="26"/>
      <c r="Q387" s="743"/>
      <c r="AS387" s="893">
        <v>7345</v>
      </c>
    </row>
    <row r="388" spans="1:45">
      <c r="A388" s="26"/>
      <c r="B388" s="26"/>
      <c r="C388" s="26"/>
      <c r="D388" s="26"/>
      <c r="E388" s="26"/>
      <c r="F388" s="26"/>
      <c r="G388" s="26"/>
      <c r="H388" s="26"/>
      <c r="I388" s="26"/>
      <c r="J388" s="26"/>
      <c r="K388" s="26"/>
      <c r="L388" s="26"/>
      <c r="M388" s="26"/>
      <c r="N388" s="26"/>
      <c r="O388" s="26"/>
      <c r="P388" s="26"/>
      <c r="Q388" s="743"/>
      <c r="AS388" s="893">
        <v>7346</v>
      </c>
    </row>
    <row r="389" spans="1:45">
      <c r="A389" s="26"/>
      <c r="B389" s="26"/>
      <c r="C389" s="26"/>
      <c r="D389" s="26"/>
      <c r="E389" s="26"/>
      <c r="F389" s="26"/>
      <c r="G389" s="26"/>
      <c r="H389" s="26"/>
      <c r="I389" s="26"/>
      <c r="J389" s="26"/>
      <c r="K389" s="26"/>
      <c r="L389" s="26"/>
      <c r="M389" s="26"/>
      <c r="N389" s="26"/>
      <c r="O389" s="26"/>
      <c r="P389" s="26"/>
      <c r="Q389" s="743"/>
      <c r="AS389" s="893">
        <v>7347</v>
      </c>
    </row>
    <row r="390" spans="1:45">
      <c r="A390" s="26"/>
      <c r="B390" s="26"/>
      <c r="C390" s="26"/>
      <c r="D390" s="26"/>
      <c r="E390" s="26"/>
      <c r="F390" s="26"/>
      <c r="G390" s="26"/>
      <c r="H390" s="26"/>
      <c r="I390" s="26"/>
      <c r="J390" s="26"/>
      <c r="K390" s="26"/>
      <c r="L390" s="26"/>
      <c r="M390" s="26"/>
      <c r="N390" s="26"/>
      <c r="O390" s="26"/>
      <c r="P390" s="26"/>
      <c r="Q390" s="743"/>
      <c r="AS390" s="893">
        <v>7348</v>
      </c>
    </row>
    <row r="391" spans="1:45">
      <c r="A391" s="26"/>
      <c r="B391" s="26"/>
      <c r="C391" s="26"/>
      <c r="D391" s="26"/>
      <c r="E391" s="26"/>
      <c r="F391" s="26"/>
      <c r="G391" s="26"/>
      <c r="H391" s="26"/>
      <c r="I391" s="26"/>
      <c r="J391" s="26"/>
      <c r="K391" s="26"/>
      <c r="L391" s="26"/>
      <c r="M391" s="26"/>
      <c r="N391" s="26"/>
      <c r="O391" s="26"/>
      <c r="P391" s="26"/>
      <c r="Q391" s="743"/>
      <c r="AS391" s="893">
        <v>7349</v>
      </c>
    </row>
    <row r="392" spans="1:45">
      <c r="A392" s="26"/>
      <c r="B392" s="26"/>
      <c r="C392" s="26"/>
      <c r="D392" s="26"/>
      <c r="E392" s="26"/>
      <c r="F392" s="26"/>
      <c r="G392" s="26"/>
      <c r="H392" s="26"/>
      <c r="I392" s="26"/>
      <c r="J392" s="26"/>
      <c r="K392" s="26"/>
      <c r="L392" s="26"/>
      <c r="M392" s="26"/>
      <c r="N392" s="26"/>
      <c r="O392" s="26"/>
      <c r="P392" s="26"/>
      <c r="Q392" s="743"/>
      <c r="AS392" s="893">
        <v>7351</v>
      </c>
    </row>
    <row r="393" spans="1:45">
      <c r="A393" s="26"/>
      <c r="B393" s="26"/>
      <c r="C393" s="26"/>
      <c r="D393" s="26"/>
      <c r="E393" s="26"/>
      <c r="F393" s="26"/>
      <c r="G393" s="26"/>
      <c r="H393" s="26"/>
      <c r="I393" s="26"/>
      <c r="J393" s="26"/>
      <c r="K393" s="26"/>
      <c r="L393" s="26"/>
      <c r="M393" s="26"/>
      <c r="N393" s="26"/>
      <c r="O393" s="26"/>
      <c r="P393" s="26"/>
      <c r="Q393" s="743"/>
      <c r="AS393" s="893">
        <v>7352</v>
      </c>
    </row>
    <row r="394" spans="1:45">
      <c r="A394" s="26"/>
      <c r="B394" s="26"/>
      <c r="C394" s="26"/>
      <c r="D394" s="26"/>
      <c r="E394" s="26"/>
      <c r="F394" s="26"/>
      <c r="G394" s="26"/>
      <c r="H394" s="26"/>
      <c r="I394" s="26"/>
      <c r="J394" s="26"/>
      <c r="K394" s="26"/>
      <c r="L394" s="26"/>
      <c r="M394" s="26"/>
      <c r="N394" s="26"/>
      <c r="O394" s="26"/>
      <c r="P394" s="26"/>
      <c r="Q394" s="743"/>
      <c r="AS394" s="893">
        <v>7353</v>
      </c>
    </row>
    <row r="395" spans="1:45">
      <c r="A395" s="26"/>
      <c r="B395" s="26"/>
      <c r="C395" s="26"/>
      <c r="D395" s="26"/>
      <c r="E395" s="26"/>
      <c r="F395" s="26"/>
      <c r="G395" s="26"/>
      <c r="H395" s="26"/>
      <c r="I395" s="26"/>
      <c r="J395" s="26"/>
      <c r="K395" s="26"/>
      <c r="L395" s="26"/>
      <c r="M395" s="26"/>
      <c r="N395" s="26"/>
      <c r="O395" s="26"/>
      <c r="P395" s="26"/>
      <c r="Q395" s="743"/>
      <c r="AS395" s="893">
        <v>7354</v>
      </c>
    </row>
    <row r="396" spans="1:45">
      <c r="A396" s="26"/>
      <c r="B396" s="26"/>
      <c r="C396" s="26"/>
      <c r="D396" s="26"/>
      <c r="E396" s="26"/>
      <c r="F396" s="26"/>
      <c r="G396" s="26"/>
      <c r="H396" s="26"/>
      <c r="I396" s="26"/>
      <c r="J396" s="26"/>
      <c r="K396" s="26"/>
      <c r="L396" s="26"/>
      <c r="M396" s="26"/>
      <c r="N396" s="26"/>
      <c r="O396" s="26"/>
      <c r="P396" s="26"/>
      <c r="Q396" s="743"/>
      <c r="AS396" s="893">
        <v>7361</v>
      </c>
    </row>
    <row r="397" spans="1:45">
      <c r="A397" s="26"/>
      <c r="B397" s="26"/>
      <c r="C397" s="26"/>
      <c r="D397" s="26"/>
      <c r="E397" s="26"/>
      <c r="F397" s="26"/>
      <c r="G397" s="26"/>
      <c r="H397" s="26"/>
      <c r="I397" s="26"/>
      <c r="J397" s="26"/>
      <c r="K397" s="26"/>
      <c r="L397" s="26"/>
      <c r="M397" s="26"/>
      <c r="N397" s="26"/>
      <c r="O397" s="26"/>
      <c r="P397" s="26"/>
      <c r="Q397" s="743"/>
      <c r="AS397" s="893">
        <v>7362</v>
      </c>
    </row>
    <row r="398" spans="1:45">
      <c r="A398" s="26"/>
      <c r="B398" s="26"/>
      <c r="C398" s="26"/>
      <c r="D398" s="26"/>
      <c r="E398" s="26"/>
      <c r="F398" s="26"/>
      <c r="G398" s="26"/>
      <c r="H398" s="26"/>
      <c r="I398" s="26"/>
      <c r="J398" s="26"/>
      <c r="K398" s="26"/>
      <c r="L398" s="26"/>
      <c r="M398" s="26"/>
      <c r="N398" s="26"/>
      <c r="O398" s="26"/>
      <c r="P398" s="26"/>
      <c r="Q398" s="743"/>
      <c r="AS398" s="893">
        <v>7371</v>
      </c>
    </row>
    <row r="399" spans="1:45">
      <c r="A399" s="26"/>
      <c r="B399" s="26"/>
      <c r="C399" s="26"/>
      <c r="D399" s="26"/>
      <c r="E399" s="26"/>
      <c r="F399" s="26"/>
      <c r="G399" s="26"/>
      <c r="H399" s="26"/>
      <c r="I399" s="26"/>
      <c r="J399" s="26"/>
      <c r="K399" s="26"/>
      <c r="L399" s="26"/>
      <c r="M399" s="26"/>
      <c r="N399" s="26"/>
      <c r="O399" s="26"/>
      <c r="P399" s="26"/>
      <c r="Q399" s="743"/>
      <c r="AS399" s="893">
        <v>7372</v>
      </c>
    </row>
    <row r="400" spans="1:45">
      <c r="A400" s="26"/>
      <c r="B400" s="26"/>
      <c r="C400" s="26"/>
      <c r="D400" s="26"/>
      <c r="E400" s="26"/>
      <c r="F400" s="26"/>
      <c r="G400" s="26"/>
      <c r="H400" s="26"/>
      <c r="I400" s="26"/>
      <c r="J400" s="26"/>
      <c r="K400" s="26"/>
      <c r="L400" s="26"/>
      <c r="M400" s="26"/>
      <c r="N400" s="26"/>
      <c r="O400" s="26"/>
      <c r="P400" s="26"/>
      <c r="Q400" s="743"/>
      <c r="AS400" s="893">
        <v>7380</v>
      </c>
    </row>
    <row r="401" spans="1:45">
      <c r="A401" s="26"/>
      <c r="B401" s="26"/>
      <c r="C401" s="26"/>
      <c r="D401" s="26"/>
      <c r="E401" s="26"/>
      <c r="F401" s="26"/>
      <c r="G401" s="26"/>
      <c r="H401" s="26"/>
      <c r="I401" s="26"/>
      <c r="J401" s="26"/>
      <c r="K401" s="26"/>
      <c r="L401" s="26"/>
      <c r="M401" s="26"/>
      <c r="N401" s="26"/>
      <c r="O401" s="26"/>
      <c r="P401" s="26"/>
      <c r="Q401" s="743"/>
      <c r="AS401" s="893">
        <v>7381</v>
      </c>
    </row>
    <row r="402" spans="1:45">
      <c r="A402" s="26"/>
      <c r="B402" s="26"/>
      <c r="C402" s="26"/>
      <c r="D402" s="26"/>
      <c r="E402" s="26"/>
      <c r="F402" s="26"/>
      <c r="G402" s="26"/>
      <c r="H402" s="26"/>
      <c r="I402" s="26"/>
      <c r="J402" s="26"/>
      <c r="K402" s="26"/>
      <c r="L402" s="26"/>
      <c r="M402" s="26"/>
      <c r="N402" s="26"/>
      <c r="O402" s="26"/>
      <c r="P402" s="26"/>
      <c r="Q402" s="743"/>
      <c r="AS402" s="893">
        <v>7382</v>
      </c>
    </row>
    <row r="403" spans="1:45">
      <c r="A403" s="26"/>
      <c r="B403" s="26"/>
      <c r="C403" s="26"/>
      <c r="D403" s="26"/>
      <c r="E403" s="26"/>
      <c r="F403" s="26"/>
      <c r="G403" s="26"/>
      <c r="H403" s="26"/>
      <c r="I403" s="26"/>
      <c r="J403" s="26"/>
      <c r="K403" s="26"/>
      <c r="L403" s="26"/>
      <c r="M403" s="26"/>
      <c r="N403" s="26"/>
      <c r="O403" s="26"/>
      <c r="P403" s="26"/>
      <c r="Q403" s="743"/>
      <c r="AS403" s="893">
        <v>7383</v>
      </c>
    </row>
    <row r="404" spans="1:45">
      <c r="A404" s="26"/>
      <c r="B404" s="26"/>
      <c r="C404" s="26"/>
      <c r="D404" s="26"/>
      <c r="E404" s="26"/>
      <c r="F404" s="26"/>
      <c r="G404" s="26"/>
      <c r="H404" s="26"/>
      <c r="I404" s="26"/>
      <c r="J404" s="26"/>
      <c r="K404" s="26"/>
      <c r="L404" s="26"/>
      <c r="M404" s="26"/>
      <c r="N404" s="26"/>
      <c r="O404" s="26"/>
      <c r="P404" s="26"/>
      <c r="Q404" s="743"/>
      <c r="AS404" s="893">
        <v>7384</v>
      </c>
    </row>
    <row r="405" spans="1:45">
      <c r="A405" s="26"/>
      <c r="B405" s="26"/>
      <c r="C405" s="26"/>
      <c r="D405" s="26"/>
      <c r="E405" s="26"/>
      <c r="F405" s="26"/>
      <c r="G405" s="26"/>
      <c r="H405" s="26"/>
      <c r="I405" s="26"/>
      <c r="J405" s="26"/>
      <c r="K405" s="26"/>
      <c r="L405" s="26"/>
      <c r="M405" s="26"/>
      <c r="N405" s="26"/>
      <c r="O405" s="26"/>
      <c r="P405" s="26"/>
      <c r="Q405" s="743"/>
      <c r="AS405" s="893">
        <v>7385</v>
      </c>
    </row>
    <row r="406" spans="1:45">
      <c r="A406" s="26"/>
      <c r="B406" s="26"/>
      <c r="C406" s="26"/>
      <c r="D406" s="26"/>
      <c r="E406" s="26"/>
      <c r="F406" s="26"/>
      <c r="G406" s="26"/>
      <c r="H406" s="26"/>
      <c r="I406" s="26"/>
      <c r="J406" s="26"/>
      <c r="K406" s="26"/>
      <c r="L406" s="26"/>
      <c r="M406" s="26"/>
      <c r="N406" s="26"/>
      <c r="O406" s="26"/>
      <c r="P406" s="26"/>
      <c r="Q406" s="743"/>
      <c r="AS406" s="893">
        <v>7386</v>
      </c>
    </row>
    <row r="407" spans="1:45">
      <c r="A407" s="26"/>
      <c r="B407" s="26"/>
      <c r="C407" s="26"/>
      <c r="D407" s="26"/>
      <c r="E407" s="26"/>
      <c r="F407" s="26"/>
      <c r="G407" s="26"/>
      <c r="H407" s="26"/>
      <c r="I407" s="26"/>
      <c r="J407" s="26"/>
      <c r="K407" s="26"/>
      <c r="L407" s="26"/>
      <c r="M407" s="26"/>
      <c r="N407" s="26"/>
      <c r="O407" s="26"/>
      <c r="P407" s="26"/>
      <c r="Q407" s="743"/>
      <c r="AS407" s="893">
        <v>7387</v>
      </c>
    </row>
    <row r="408" spans="1:45">
      <c r="A408" s="26"/>
      <c r="B408" s="26"/>
      <c r="C408" s="26"/>
      <c r="D408" s="26"/>
      <c r="E408" s="26"/>
      <c r="F408" s="26"/>
      <c r="G408" s="26"/>
      <c r="H408" s="26"/>
      <c r="I408" s="26"/>
      <c r="J408" s="26"/>
      <c r="K408" s="26"/>
      <c r="L408" s="26"/>
      <c r="M408" s="26"/>
      <c r="N408" s="26"/>
      <c r="O408" s="26"/>
      <c r="P408" s="26"/>
      <c r="Q408" s="743"/>
      <c r="AS408" s="893">
        <v>7388</v>
      </c>
    </row>
    <row r="409" spans="1:45">
      <c r="A409" s="26"/>
      <c r="B409" s="26"/>
      <c r="C409" s="26"/>
      <c r="D409" s="26"/>
      <c r="E409" s="26"/>
      <c r="F409" s="26"/>
      <c r="G409" s="26"/>
      <c r="H409" s="26"/>
      <c r="I409" s="26"/>
      <c r="J409" s="26"/>
      <c r="K409" s="26"/>
      <c r="L409" s="26"/>
      <c r="M409" s="26"/>
      <c r="N409" s="26"/>
      <c r="O409" s="26"/>
      <c r="P409" s="26"/>
      <c r="Q409" s="743"/>
      <c r="AS409" s="893">
        <v>7389</v>
      </c>
    </row>
    <row r="410" spans="1:45">
      <c r="A410" s="26"/>
      <c r="B410" s="26"/>
      <c r="C410" s="26"/>
      <c r="D410" s="26"/>
      <c r="E410" s="26"/>
      <c r="F410" s="26"/>
      <c r="G410" s="26"/>
      <c r="H410" s="26"/>
      <c r="I410" s="26"/>
      <c r="J410" s="26"/>
      <c r="K410" s="26"/>
      <c r="L410" s="26"/>
      <c r="M410" s="26"/>
      <c r="N410" s="26"/>
      <c r="O410" s="26"/>
      <c r="P410" s="26"/>
      <c r="Q410" s="743"/>
      <c r="AS410" s="893">
        <v>7411</v>
      </c>
    </row>
    <row r="411" spans="1:45">
      <c r="A411" s="26"/>
      <c r="B411" s="26"/>
      <c r="C411" s="26"/>
      <c r="D411" s="26"/>
      <c r="E411" s="26"/>
      <c r="F411" s="26"/>
      <c r="G411" s="26"/>
      <c r="H411" s="26"/>
      <c r="I411" s="26"/>
      <c r="J411" s="26"/>
      <c r="K411" s="26"/>
      <c r="L411" s="26"/>
      <c r="M411" s="26"/>
      <c r="N411" s="26"/>
      <c r="O411" s="26"/>
      <c r="P411" s="26"/>
      <c r="Q411" s="743"/>
      <c r="AS411" s="893">
        <v>7412</v>
      </c>
    </row>
    <row r="412" spans="1:45">
      <c r="A412" s="26"/>
      <c r="B412" s="26"/>
      <c r="C412" s="26"/>
      <c r="D412" s="26"/>
      <c r="E412" s="26"/>
      <c r="F412" s="26"/>
      <c r="G412" s="26"/>
      <c r="H412" s="26"/>
      <c r="I412" s="26"/>
      <c r="J412" s="26"/>
      <c r="K412" s="26"/>
      <c r="L412" s="26"/>
      <c r="M412" s="26"/>
      <c r="N412" s="26"/>
      <c r="O412" s="26"/>
      <c r="P412" s="26"/>
      <c r="Q412" s="743"/>
      <c r="AS412" s="893">
        <v>7413</v>
      </c>
    </row>
    <row r="413" spans="1:45">
      <c r="A413" s="26"/>
      <c r="B413" s="26"/>
      <c r="C413" s="26"/>
      <c r="D413" s="26"/>
      <c r="E413" s="26"/>
      <c r="F413" s="26"/>
      <c r="G413" s="26"/>
      <c r="H413" s="26"/>
      <c r="I413" s="26"/>
      <c r="J413" s="26"/>
      <c r="K413" s="26"/>
      <c r="L413" s="26"/>
      <c r="M413" s="26"/>
      <c r="N413" s="26"/>
      <c r="O413" s="26"/>
      <c r="P413" s="26"/>
      <c r="Q413" s="743"/>
      <c r="AS413" s="893">
        <v>7414</v>
      </c>
    </row>
    <row r="414" spans="1:45">
      <c r="A414" s="26"/>
      <c r="B414" s="26"/>
      <c r="C414" s="26"/>
      <c r="D414" s="26"/>
      <c r="E414" s="26"/>
      <c r="F414" s="26"/>
      <c r="G414" s="26"/>
      <c r="H414" s="26"/>
      <c r="I414" s="26"/>
      <c r="J414" s="26"/>
      <c r="K414" s="26"/>
      <c r="L414" s="26"/>
      <c r="M414" s="26"/>
      <c r="N414" s="26"/>
      <c r="O414" s="26"/>
      <c r="P414" s="26"/>
      <c r="Q414" s="743"/>
      <c r="AS414" s="893">
        <v>7415</v>
      </c>
    </row>
    <row r="415" spans="1:45">
      <c r="A415" s="26"/>
      <c r="B415" s="26"/>
      <c r="C415" s="26"/>
      <c r="D415" s="26"/>
      <c r="E415" s="26"/>
      <c r="F415" s="26"/>
      <c r="G415" s="26"/>
      <c r="H415" s="26"/>
      <c r="I415" s="26"/>
      <c r="J415" s="26"/>
      <c r="K415" s="26"/>
      <c r="L415" s="26"/>
      <c r="M415" s="26"/>
      <c r="N415" s="26"/>
      <c r="O415" s="26"/>
      <c r="P415" s="26"/>
      <c r="Q415" s="743"/>
      <c r="AS415" s="893">
        <v>7416</v>
      </c>
    </row>
    <row r="416" spans="1:45">
      <c r="A416" s="26"/>
      <c r="B416" s="26"/>
      <c r="C416" s="26"/>
      <c r="D416" s="26"/>
      <c r="E416" s="26"/>
      <c r="F416" s="26"/>
      <c r="G416" s="26"/>
      <c r="H416" s="26"/>
      <c r="I416" s="26"/>
      <c r="J416" s="26"/>
      <c r="K416" s="26"/>
      <c r="L416" s="26"/>
      <c r="M416" s="26"/>
      <c r="N416" s="26"/>
      <c r="O416" s="26"/>
      <c r="P416" s="26"/>
      <c r="Q416" s="743"/>
      <c r="AS416" s="893">
        <v>7417</v>
      </c>
    </row>
    <row r="417" spans="1:45">
      <c r="A417" s="26"/>
      <c r="B417" s="26"/>
      <c r="C417" s="26"/>
      <c r="D417" s="26"/>
      <c r="E417" s="26"/>
      <c r="F417" s="26"/>
      <c r="G417" s="26"/>
      <c r="H417" s="26"/>
      <c r="I417" s="26"/>
      <c r="J417" s="26"/>
      <c r="K417" s="26"/>
      <c r="L417" s="26"/>
      <c r="M417" s="26"/>
      <c r="N417" s="26"/>
      <c r="O417" s="26"/>
      <c r="P417" s="26"/>
      <c r="Q417" s="743"/>
      <c r="AS417" s="893">
        <v>7418</v>
      </c>
    </row>
    <row r="418" spans="1:45">
      <c r="AS418" s="893">
        <v>7421</v>
      </c>
    </row>
    <row r="419" spans="1:45">
      <c r="AS419" s="893">
        <v>7422</v>
      </c>
    </row>
    <row r="420" spans="1:45">
      <c r="AS420" s="893">
        <v>7431</v>
      </c>
    </row>
    <row r="421" spans="1:45">
      <c r="AS421" s="893">
        <v>7441</v>
      </c>
    </row>
    <row r="422" spans="1:45">
      <c r="AS422" s="893">
        <v>7442</v>
      </c>
    </row>
    <row r="423" spans="1:45">
      <c r="AS423" s="893">
        <v>7443</v>
      </c>
    </row>
    <row r="424" spans="1:45">
      <c r="AS424" s="893">
        <v>7444</v>
      </c>
    </row>
    <row r="425" spans="1:45">
      <c r="AS425" s="893">
        <v>7445</v>
      </c>
    </row>
    <row r="426" spans="1:45">
      <c r="AS426" s="893">
        <v>7446</v>
      </c>
    </row>
    <row r="427" spans="1:45">
      <c r="AS427" s="893">
        <v>7447</v>
      </c>
    </row>
    <row r="428" spans="1:45">
      <c r="AS428" s="893">
        <v>7511</v>
      </c>
    </row>
    <row r="429" spans="1:45">
      <c r="AS429" s="893">
        <v>7512</v>
      </c>
    </row>
    <row r="430" spans="1:45">
      <c r="AS430" s="893">
        <v>7513</v>
      </c>
    </row>
    <row r="431" spans="1:45">
      <c r="AS431" s="893">
        <v>7514</v>
      </c>
    </row>
    <row r="432" spans="1:45">
      <c r="AS432" s="893">
        <v>7515</v>
      </c>
    </row>
    <row r="433" spans="45:45">
      <c r="AS433" s="893">
        <v>7516</v>
      </c>
    </row>
    <row r="434" spans="45:45">
      <c r="AS434" s="893">
        <v>7517</v>
      </c>
    </row>
    <row r="435" spans="45:45">
      <c r="AS435" s="893">
        <v>7518</v>
      </c>
    </row>
    <row r="436" spans="45:45">
      <c r="AS436" s="893">
        <v>7521</v>
      </c>
    </row>
    <row r="437" spans="45:45">
      <c r="AS437" s="893">
        <v>7522</v>
      </c>
    </row>
    <row r="438" spans="45:45">
      <c r="AS438" s="893">
        <v>7523</v>
      </c>
    </row>
    <row r="439" spans="45:45">
      <c r="AS439" s="893">
        <v>7524</v>
      </c>
    </row>
    <row r="440" spans="45:45">
      <c r="AS440" s="893">
        <v>7531</v>
      </c>
    </row>
    <row r="441" spans="45:45">
      <c r="AS441" s="893">
        <v>7532</v>
      </c>
    </row>
    <row r="442" spans="45:45">
      <c r="AS442" s="893">
        <v>7541</v>
      </c>
    </row>
    <row r="443" spans="45:45">
      <c r="AS443" s="893">
        <v>7542</v>
      </c>
    </row>
    <row r="444" spans="45:45">
      <c r="AS444" s="893">
        <v>7543</v>
      </c>
    </row>
    <row r="445" spans="45:45">
      <c r="AS445" s="893">
        <v>7601</v>
      </c>
    </row>
    <row r="446" spans="45:45">
      <c r="AS446" s="893">
        <v>7602</v>
      </c>
    </row>
    <row r="447" spans="45:45">
      <c r="AS447" s="893">
        <v>7603</v>
      </c>
    </row>
    <row r="448" spans="45:45">
      <c r="AS448" s="893">
        <v>7604</v>
      </c>
    </row>
    <row r="449" spans="45:45">
      <c r="AS449" s="893">
        <v>7605</v>
      </c>
    </row>
    <row r="450" spans="45:45">
      <c r="AS450" s="893">
        <v>7606</v>
      </c>
    </row>
    <row r="451" spans="45:45">
      <c r="AS451" s="893">
        <v>8111</v>
      </c>
    </row>
    <row r="452" spans="45:45">
      <c r="AS452" s="893">
        <v>8112</v>
      </c>
    </row>
    <row r="453" spans="45:45">
      <c r="AS453" s="893">
        <v>8114</v>
      </c>
    </row>
    <row r="454" spans="45:45">
      <c r="AS454" s="893">
        <v>8121</v>
      </c>
    </row>
    <row r="455" spans="45:45">
      <c r="AS455" s="893">
        <v>8122</v>
      </c>
    </row>
    <row r="456" spans="45:45">
      <c r="AS456" s="893">
        <v>8123</v>
      </c>
    </row>
    <row r="457" spans="45:45">
      <c r="AS457" s="893">
        <v>8131</v>
      </c>
    </row>
    <row r="458" spans="45:45">
      <c r="AS458" s="893">
        <v>8132</v>
      </c>
    </row>
    <row r="459" spans="45:45">
      <c r="AS459" s="893">
        <v>8133</v>
      </c>
    </row>
    <row r="460" spans="45:45">
      <c r="AS460" s="893">
        <v>8211</v>
      </c>
    </row>
    <row r="461" spans="45:45">
      <c r="AS461" s="893">
        <v>8221</v>
      </c>
    </row>
    <row r="462" spans="45:45">
      <c r="AS462" s="893">
        <v>8231</v>
      </c>
    </row>
    <row r="463" spans="45:45">
      <c r="AS463" s="893">
        <v>8232</v>
      </c>
    </row>
    <row r="464" spans="45:45">
      <c r="AS464" s="893">
        <v>8241</v>
      </c>
    </row>
    <row r="465" spans="45:45">
      <c r="AS465" s="893">
        <v>8261</v>
      </c>
    </row>
    <row r="466" spans="45:45">
      <c r="AS466" s="893">
        <v>8271</v>
      </c>
    </row>
    <row r="467" spans="45:45">
      <c r="AS467" s="893">
        <v>8311</v>
      </c>
    </row>
    <row r="468" spans="45:45">
      <c r="AS468" s="893">
        <v>8312</v>
      </c>
    </row>
    <row r="469" spans="45:45">
      <c r="AS469" s="893">
        <v>8313</v>
      </c>
    </row>
    <row r="470" spans="45:45">
      <c r="AS470" s="893">
        <v>8314</v>
      </c>
    </row>
    <row r="471" spans="45:45">
      <c r="AS471" s="893">
        <v>8315</v>
      </c>
    </row>
    <row r="472" spans="45:45">
      <c r="AS472" s="893">
        <v>8316</v>
      </c>
    </row>
    <row r="473" spans="45:45">
      <c r="AS473" s="893">
        <v>8321</v>
      </c>
    </row>
    <row r="474" spans="45:45">
      <c r="AS474" s="893">
        <v>8331</v>
      </c>
    </row>
    <row r="475" spans="45:45">
      <c r="AS475" s="893">
        <v>8332</v>
      </c>
    </row>
    <row r="476" spans="45:45">
      <c r="AS476" s="893">
        <v>8333</v>
      </c>
    </row>
    <row r="477" spans="45:45">
      <c r="AS477" s="893">
        <v>8334</v>
      </c>
    </row>
    <row r="478" spans="45:45">
      <c r="AS478" s="893">
        <v>8411</v>
      </c>
    </row>
    <row r="479" spans="45:45">
      <c r="AS479" s="893">
        <v>8412</v>
      </c>
    </row>
    <row r="480" spans="45:45">
      <c r="AS480" s="893">
        <v>8413</v>
      </c>
    </row>
    <row r="481" spans="45:45">
      <c r="AS481" s="893">
        <v>8414</v>
      </c>
    </row>
    <row r="482" spans="45:45">
      <c r="AS482" s="893">
        <v>8415</v>
      </c>
    </row>
    <row r="483" spans="45:45">
      <c r="AS483" s="893">
        <v>8421</v>
      </c>
    </row>
    <row r="484" spans="45:45">
      <c r="AS484" s="893">
        <v>8422</v>
      </c>
    </row>
    <row r="485" spans="45:45">
      <c r="AS485" s="893">
        <v>8431</v>
      </c>
    </row>
    <row r="486" spans="45:45">
      <c r="AS486" s="893">
        <v>8432</v>
      </c>
    </row>
    <row r="487" spans="45:45">
      <c r="AS487" s="893">
        <v>8433</v>
      </c>
    </row>
    <row r="488" spans="45:45">
      <c r="AS488" s="893">
        <v>8434</v>
      </c>
    </row>
    <row r="489" spans="45:45">
      <c r="AS489" s="893">
        <v>8435</v>
      </c>
    </row>
    <row r="490" spans="45:45">
      <c r="AS490" s="893">
        <v>8441</v>
      </c>
    </row>
    <row r="491" spans="45:45">
      <c r="AS491" s="893">
        <v>8442</v>
      </c>
    </row>
    <row r="492" spans="45:45">
      <c r="AS492" s="893">
        <v>8443</v>
      </c>
    </row>
    <row r="493" spans="45:45">
      <c r="AS493" s="893">
        <v>8451</v>
      </c>
    </row>
    <row r="494" spans="45:45">
      <c r="AS494" s="893">
        <v>8452</v>
      </c>
    </row>
    <row r="495" spans="45:45">
      <c r="AS495" s="893">
        <v>8511</v>
      </c>
    </row>
    <row r="496" spans="45:45">
      <c r="AS496" s="893">
        <v>8512</v>
      </c>
    </row>
    <row r="497" spans="45:45">
      <c r="AS497" s="893">
        <v>8513</v>
      </c>
    </row>
    <row r="498" spans="45:45">
      <c r="AS498" s="893">
        <v>8514</v>
      </c>
    </row>
    <row r="499" spans="45:45">
      <c r="AS499" s="893">
        <v>8521</v>
      </c>
    </row>
    <row r="500" spans="45:45">
      <c r="AS500" s="893">
        <v>8522</v>
      </c>
    </row>
    <row r="501" spans="45:45">
      <c r="AS501" s="893">
        <v>8523</v>
      </c>
    </row>
    <row r="502" spans="45:45">
      <c r="AS502" s="893">
        <v>8524</v>
      </c>
    </row>
    <row r="503" spans="45:45">
      <c r="AS503" s="893">
        <v>8525</v>
      </c>
    </row>
    <row r="504" spans="45:45">
      <c r="AS504" s="893">
        <v>8526</v>
      </c>
    </row>
    <row r="505" spans="45:45">
      <c r="AS505" s="893">
        <v>8531</v>
      </c>
    </row>
    <row r="506" spans="45:45">
      <c r="AS506" s="893">
        <v>8541</v>
      </c>
    </row>
    <row r="507" spans="45:45">
      <c r="AS507" s="893">
        <v>8601</v>
      </c>
    </row>
    <row r="508" spans="45:45">
      <c r="AS508" s="893">
        <v>8611</v>
      </c>
    </row>
    <row r="509" spans="45:45">
      <c r="AS509" s="893">
        <v>8612</v>
      </c>
    </row>
    <row r="510" spans="45:45">
      <c r="AS510" s="893">
        <v>8711</v>
      </c>
    </row>
    <row r="511" spans="45:45">
      <c r="AS511" s="893">
        <v>8712</v>
      </c>
    </row>
    <row r="512" spans="45:45">
      <c r="AS512" s="893">
        <v>8713</v>
      </c>
    </row>
    <row r="513" spans="45:45">
      <c r="AS513" s="893">
        <v>8714</v>
      </c>
    </row>
    <row r="514" spans="45:45">
      <c r="AS514" s="893">
        <v>8715</v>
      </c>
    </row>
    <row r="515" spans="45:45">
      <c r="AS515" s="893">
        <v>8721</v>
      </c>
    </row>
    <row r="516" spans="45:45">
      <c r="AS516" s="893">
        <v>8722</v>
      </c>
    </row>
    <row r="517" spans="45:45">
      <c r="AS517" s="893">
        <v>8811</v>
      </c>
    </row>
    <row r="518" spans="45:45">
      <c r="AS518" s="893">
        <v>8821</v>
      </c>
    </row>
    <row r="519" spans="45:45">
      <c r="AS519" s="893">
        <v>8910</v>
      </c>
    </row>
    <row r="520" spans="45:45">
      <c r="AS520" s="893">
        <v>8921</v>
      </c>
    </row>
    <row r="521" spans="45:45">
      <c r="AS521" s="893">
        <v>8922</v>
      </c>
    </row>
    <row r="522" spans="45:45">
      <c r="AS522" s="893">
        <v>8923</v>
      </c>
    </row>
    <row r="523" spans="45:45">
      <c r="AS523" s="893">
        <v>8924</v>
      </c>
    </row>
    <row r="524" spans="45:45">
      <c r="AS524" s="893">
        <v>8925</v>
      </c>
    </row>
    <row r="525" spans="45:45">
      <c r="AS525" s="893">
        <v>8926</v>
      </c>
    </row>
    <row r="526" spans="45:45">
      <c r="AS526" s="893">
        <v>8927</v>
      </c>
    </row>
    <row r="527" spans="45:45">
      <c r="AS527" s="893">
        <v>8928</v>
      </c>
    </row>
    <row r="528" spans="45:45">
      <c r="AS528" s="893">
        <v>8929</v>
      </c>
    </row>
    <row r="529" spans="45:45">
      <c r="AS529" s="893">
        <v>8930</v>
      </c>
    </row>
    <row r="530" spans="45:45">
      <c r="AS530" s="893">
        <v>8931</v>
      </c>
    </row>
    <row r="531" spans="45:45">
      <c r="AS531" s="893">
        <v>8932</v>
      </c>
    </row>
    <row r="532" spans="45:45">
      <c r="AS532" s="893">
        <v>8951</v>
      </c>
    </row>
    <row r="533" spans="45:45">
      <c r="AS533" s="893">
        <v>9351</v>
      </c>
    </row>
    <row r="534" spans="45:45">
      <c r="AS534" s="893" t="s">
        <v>2374</v>
      </c>
    </row>
  </sheetData>
  <autoFilter ref="A3:Q3" xr:uid="{00000000-0009-0000-0000-000004000000}"/>
  <mergeCells count="24">
    <mergeCell ref="A288:Q288"/>
    <mergeCell ref="A277:Q277"/>
    <mergeCell ref="A278:Q278"/>
    <mergeCell ref="A279:Q279"/>
    <mergeCell ref="A280:Q280"/>
    <mergeCell ref="A281:Q281"/>
    <mergeCell ref="A282:Q282"/>
    <mergeCell ref="A283:Q283"/>
    <mergeCell ref="A284:Q284"/>
    <mergeCell ref="A285:Q285"/>
    <mergeCell ref="A286:Q286"/>
    <mergeCell ref="A287:Q287"/>
    <mergeCell ref="A276:Q276"/>
    <mergeCell ref="A1:D2"/>
    <mergeCell ref="E1:G1"/>
    <mergeCell ref="H1:N1"/>
    <mergeCell ref="P1:Q1"/>
    <mergeCell ref="A269:Q269"/>
    <mergeCell ref="A270:Q270"/>
    <mergeCell ref="A271:Q271"/>
    <mergeCell ref="A272:Q272"/>
    <mergeCell ref="A273:Q273"/>
    <mergeCell ref="A274:Q274"/>
    <mergeCell ref="A275:Q275"/>
  </mergeCells>
  <pageMargins left="0.25" right="0.25" top="1" bottom="0.25" header="0.05" footer="0.05"/>
  <pageSetup paperSize="3" scale="88"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8482-2758-4D5E-9CF4-6469097C90EB}">
  <dimension ref="A1:H17"/>
  <sheetViews>
    <sheetView topLeftCell="A4" workbookViewId="0">
      <selection activeCell="N3" sqref="N3"/>
    </sheetView>
  </sheetViews>
  <sheetFormatPr baseColWidth="10" defaultColWidth="8.83203125" defaultRowHeight="15"/>
  <cols>
    <col min="2" max="6" width="23.83203125" customWidth="1"/>
    <col min="7" max="7" width="11.83203125" customWidth="1"/>
  </cols>
  <sheetData>
    <row r="1" spans="1:8" ht="16" thickBot="1">
      <c r="A1" s="891" t="s">
        <v>2375</v>
      </c>
    </row>
    <row r="2" spans="1:8" ht="17" thickBot="1">
      <c r="A2" s="895" t="s">
        <v>2376</v>
      </c>
      <c r="B2" s="896" t="s">
        <v>2377</v>
      </c>
      <c r="C2" s="896" t="s">
        <v>2378</v>
      </c>
      <c r="D2" s="896" t="s">
        <v>2379</v>
      </c>
      <c r="E2" s="896" t="s">
        <v>2380</v>
      </c>
      <c r="F2" s="897" t="s">
        <v>2381</v>
      </c>
    </row>
    <row r="3" spans="1:8" ht="145" thickBot="1">
      <c r="A3" s="898" t="s">
        <v>2382</v>
      </c>
      <c r="B3" s="898" t="s">
        <v>2383</v>
      </c>
      <c r="C3" s="898" t="s">
        <v>2384</v>
      </c>
      <c r="D3" s="898" t="s">
        <v>2385</v>
      </c>
      <c r="E3" s="898" t="s">
        <v>2386</v>
      </c>
      <c r="F3" s="898" t="s">
        <v>2509</v>
      </c>
      <c r="G3" s="982"/>
      <c r="H3" s="43"/>
    </row>
    <row r="4" spans="1:8" ht="97" thickBot="1">
      <c r="A4" s="900" t="s">
        <v>2342</v>
      </c>
      <c r="B4" s="901" t="s">
        <v>2387</v>
      </c>
      <c r="C4" s="901" t="s">
        <v>2388</v>
      </c>
      <c r="D4" s="901" t="s">
        <v>2385</v>
      </c>
      <c r="E4" s="901" t="s">
        <v>2386</v>
      </c>
      <c r="F4" s="901" t="s">
        <v>2389</v>
      </c>
    </row>
    <row r="5" spans="1:8" ht="97" thickBot="1">
      <c r="A5" s="900" t="s">
        <v>2390</v>
      </c>
      <c r="B5" s="901" t="s">
        <v>2391</v>
      </c>
      <c r="C5" s="901" t="s">
        <v>2392</v>
      </c>
      <c r="D5" s="901" t="s">
        <v>2393</v>
      </c>
      <c r="E5" s="901" t="s">
        <v>2394</v>
      </c>
      <c r="F5" s="901" t="s">
        <v>2395</v>
      </c>
    </row>
    <row r="6" spans="1:8" ht="65" thickBot="1">
      <c r="A6" s="898" t="s">
        <v>2340</v>
      </c>
      <c r="B6" s="899" t="s">
        <v>2396</v>
      </c>
      <c r="C6" s="899" t="s">
        <v>2397</v>
      </c>
      <c r="D6" s="898" t="s">
        <v>2398</v>
      </c>
      <c r="E6" s="899" t="s">
        <v>2399</v>
      </c>
      <c r="F6" s="898" t="s">
        <v>2400</v>
      </c>
    </row>
    <row r="7" spans="1:8">
      <c r="A7" s="32"/>
    </row>
    <row r="8" spans="1:8" ht="389.25" customHeight="1">
      <c r="A8" s="1776" t="s">
        <v>2401</v>
      </c>
      <c r="B8" s="1776"/>
      <c r="C8" s="1776"/>
      <c r="D8" s="1776"/>
      <c r="E8" s="1776"/>
      <c r="F8" s="902"/>
    </row>
    <row r="9" spans="1:8" ht="192" customHeight="1">
      <c r="A9" s="1776" t="s">
        <v>2402</v>
      </c>
      <c r="B9" s="1777"/>
      <c r="C9" s="1777"/>
      <c r="D9" s="1777"/>
      <c r="E9" s="1777"/>
      <c r="F9" s="903" t="s">
        <v>2403</v>
      </c>
    </row>
    <row r="10" spans="1:8" ht="233.25" customHeight="1">
      <c r="A10" s="1776" t="s">
        <v>2404</v>
      </c>
      <c r="B10" s="1777"/>
      <c r="C10" s="1777"/>
      <c r="D10" s="1777"/>
      <c r="E10" s="1777"/>
      <c r="F10" s="904" t="s">
        <v>2405</v>
      </c>
    </row>
    <row r="11" spans="1:8" ht="173.25" customHeight="1">
      <c r="A11" s="1776" t="s">
        <v>2406</v>
      </c>
      <c r="B11" s="1777"/>
      <c r="C11" s="1777"/>
      <c r="D11" s="1777"/>
      <c r="E11" s="1777"/>
      <c r="F11" s="389" t="s">
        <v>2407</v>
      </c>
    </row>
    <row r="12" spans="1:8" ht="133.5" customHeight="1">
      <c r="A12" s="1776" t="s">
        <v>2408</v>
      </c>
      <c r="B12" s="1777"/>
      <c r="C12" s="1777"/>
      <c r="D12" s="1777"/>
      <c r="E12" s="1777"/>
      <c r="F12" s="72"/>
    </row>
    <row r="13" spans="1:8" ht="170.25" customHeight="1">
      <c r="A13" s="1776" t="s">
        <v>2409</v>
      </c>
      <c r="B13" s="1777"/>
      <c r="C13" s="1777"/>
      <c r="D13" s="1777"/>
      <c r="E13" s="1777"/>
      <c r="F13" s="72"/>
    </row>
    <row r="14" spans="1:8" ht="22.5" customHeight="1">
      <c r="A14" s="1774" t="s">
        <v>2410</v>
      </c>
      <c r="B14" s="1774"/>
      <c r="C14" s="1774"/>
      <c r="D14" s="1774"/>
      <c r="E14" s="1774"/>
      <c r="F14" s="1774"/>
    </row>
    <row r="15" spans="1:8" ht="18" customHeight="1">
      <c r="A15" s="1775" t="s">
        <v>2411</v>
      </c>
      <c r="B15" s="1775"/>
      <c r="C15" s="1775"/>
      <c r="D15" s="1775"/>
      <c r="E15" s="1775"/>
      <c r="F15" s="1775"/>
    </row>
    <row r="16" spans="1:8" ht="46.5" customHeight="1">
      <c r="A16" s="1775" t="s">
        <v>2412</v>
      </c>
      <c r="B16" s="1775"/>
      <c r="C16" s="1775"/>
      <c r="D16" s="1775"/>
      <c r="E16" s="1775"/>
      <c r="F16" s="1775"/>
    </row>
    <row r="17" spans="1:6" ht="60" customHeight="1">
      <c r="A17" s="1775" t="s">
        <v>2413</v>
      </c>
      <c r="B17" s="1775"/>
      <c r="C17" s="1775"/>
      <c r="D17" s="1775"/>
      <c r="E17" s="1775"/>
      <c r="F17" s="1775"/>
    </row>
  </sheetData>
  <mergeCells count="10">
    <mergeCell ref="A14:F14"/>
    <mergeCell ref="A15:F15"/>
    <mergeCell ref="A16:F16"/>
    <mergeCell ref="A17:F17"/>
    <mergeCell ref="A8:E8"/>
    <mergeCell ref="A9:E9"/>
    <mergeCell ref="A10:E10"/>
    <mergeCell ref="A11:E11"/>
    <mergeCell ref="A12:E12"/>
    <mergeCell ref="A13:E13"/>
  </mergeCells>
  <hyperlinks>
    <hyperlink ref="A2" location="_ftn1" display="_ftn1" xr:uid="{C34F387E-153D-4BD4-A008-69E86BFC6654}"/>
    <hyperlink ref="F2" location="_ftn2" display="_ftn2" xr:uid="{BD05A855-190F-4F3B-B5E9-D30C3601C7A4}"/>
  </hyperlink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pageSetUpPr fitToPage="1"/>
  </sheetPr>
  <dimension ref="A1:P66"/>
  <sheetViews>
    <sheetView zoomScale="80" zoomScaleNormal="80" workbookViewId="0">
      <selection activeCell="M38" sqref="M38"/>
    </sheetView>
  </sheetViews>
  <sheetFormatPr baseColWidth="10" defaultColWidth="9.1640625" defaultRowHeight="15"/>
  <cols>
    <col min="1" max="1" width="9.1640625" style="414"/>
    <col min="2" max="2" width="49.1640625" style="414" customWidth="1"/>
    <col min="3" max="3" width="14.1640625" style="713" customWidth="1"/>
    <col min="4" max="4" width="10.1640625" style="713" customWidth="1"/>
    <col min="5" max="5" width="13" style="915" customWidth="1"/>
    <col min="6" max="6" width="14" style="713" customWidth="1"/>
    <col min="7" max="8" width="9.1640625" style="713"/>
    <col min="9" max="9" width="10.5" style="713" customWidth="1"/>
    <col min="10" max="10" width="10.83203125" style="713" customWidth="1"/>
    <col min="11" max="12" width="11.1640625" style="713" customWidth="1"/>
    <col min="13" max="13" width="11" style="713" customWidth="1"/>
    <col min="14" max="16384" width="9.1640625" style="414"/>
  </cols>
  <sheetData>
    <row r="1" spans="1:13" ht="36.75" customHeight="1" thickBot="1">
      <c r="A1" s="1778" t="s">
        <v>2592</v>
      </c>
      <c r="B1" s="1779"/>
      <c r="C1" s="1779"/>
      <c r="D1" s="1779"/>
      <c r="E1" s="1779"/>
      <c r="F1" s="1779"/>
      <c r="G1" s="1779"/>
      <c r="H1" s="1779"/>
      <c r="I1" s="1779"/>
      <c r="J1" s="1779"/>
      <c r="K1" s="1779"/>
      <c r="L1" s="1779"/>
      <c r="M1" s="1780"/>
    </row>
    <row r="2" spans="1:13" ht="74.25" customHeight="1">
      <c r="A2" s="905" t="s">
        <v>0</v>
      </c>
      <c r="B2" s="906" t="s">
        <v>2414</v>
      </c>
      <c r="C2" s="907" t="s">
        <v>2415</v>
      </c>
      <c r="D2" s="905" t="s">
        <v>2416</v>
      </c>
      <c r="E2" s="908" t="s">
        <v>2417</v>
      </c>
      <c r="F2" s="905" t="s">
        <v>2418</v>
      </c>
      <c r="G2" s="905" t="s">
        <v>2626</v>
      </c>
      <c r="H2" s="905" t="s">
        <v>2627</v>
      </c>
      <c r="I2" s="905" t="s">
        <v>2419</v>
      </c>
      <c r="J2" s="905" t="s">
        <v>2420</v>
      </c>
      <c r="K2" s="909" t="s">
        <v>2628</v>
      </c>
      <c r="L2" s="905" t="s">
        <v>2629</v>
      </c>
      <c r="M2" s="905" t="s">
        <v>2421</v>
      </c>
    </row>
    <row r="3" spans="1:13">
      <c r="A3" s="910">
        <v>1431</v>
      </c>
      <c r="B3" s="911" t="s">
        <v>17</v>
      </c>
      <c r="C3" s="1030">
        <v>13958</v>
      </c>
      <c r="D3" s="267" t="s">
        <v>2342</v>
      </c>
      <c r="E3" s="188">
        <v>1.54</v>
      </c>
      <c r="F3" s="20">
        <v>0.02</v>
      </c>
      <c r="G3" s="912">
        <f>+E3+F3-1</f>
        <v>0.56000000000000005</v>
      </c>
      <c r="H3" s="912">
        <f>+G3/(E3+F3)</f>
        <v>0.35897435897435898</v>
      </c>
      <c r="I3" s="20">
        <v>150</v>
      </c>
      <c r="J3" s="912">
        <f>+C3/I3</f>
        <v>93.053333333333327</v>
      </c>
      <c r="K3" s="912">
        <f>+H3*J3</f>
        <v>33.40376068376068</v>
      </c>
      <c r="L3" s="912">
        <f>+K3/200</f>
        <v>0.1670188034188034</v>
      </c>
      <c r="M3" s="20">
        <v>1</v>
      </c>
    </row>
    <row r="4" spans="1:13">
      <c r="A4" s="910">
        <v>1442</v>
      </c>
      <c r="B4" s="911" t="s">
        <v>19</v>
      </c>
      <c r="C4" s="1030">
        <v>14762</v>
      </c>
      <c r="D4" s="267" t="s">
        <v>2342</v>
      </c>
      <c r="E4" s="188">
        <v>1.1200000000000001</v>
      </c>
      <c r="F4" s="20">
        <v>0.04</v>
      </c>
      <c r="G4" s="912">
        <f t="shared" ref="G4:G43" si="0">+E4+F4-1</f>
        <v>0.16000000000000014</v>
      </c>
      <c r="H4" s="912">
        <f t="shared" ref="H4:H43" si="1">+G4/(E4+F4)</f>
        <v>0.13793103448275873</v>
      </c>
      <c r="I4" s="20">
        <v>150</v>
      </c>
      <c r="J4" s="912">
        <f t="shared" ref="J4:J43" si="2">+C4/I4</f>
        <v>98.413333333333327</v>
      </c>
      <c r="K4" s="912">
        <f t="shared" ref="K4:K43" si="3">+H4*J4</f>
        <v>13.574252873563228</v>
      </c>
      <c r="L4" s="912">
        <f t="shared" ref="L4:L43" si="4">+K4/200</f>
        <v>6.7871264367816139E-2</v>
      </c>
      <c r="M4" s="20">
        <f>ROUND(L4,0)</f>
        <v>0</v>
      </c>
    </row>
    <row r="5" spans="1:13">
      <c r="A5" s="910">
        <v>1443</v>
      </c>
      <c r="B5" s="911" t="s">
        <v>20</v>
      </c>
      <c r="C5" s="1030">
        <v>9664</v>
      </c>
      <c r="D5" s="267" t="s">
        <v>2340</v>
      </c>
      <c r="E5" s="188">
        <v>1.1200000000000001</v>
      </c>
      <c r="F5" s="20">
        <v>0.03</v>
      </c>
      <c r="G5" s="912">
        <f t="shared" si="0"/>
        <v>0.15000000000000013</v>
      </c>
      <c r="H5" s="912">
        <f t="shared" si="1"/>
        <v>0.13043478260869576</v>
      </c>
      <c r="I5" s="20">
        <v>150</v>
      </c>
      <c r="J5" s="912">
        <f t="shared" si="2"/>
        <v>64.426666666666662</v>
      </c>
      <c r="K5" s="912">
        <f t="shared" si="3"/>
        <v>8.4034782608695711</v>
      </c>
      <c r="L5" s="912">
        <f t="shared" si="4"/>
        <v>4.2017391304347854E-2</v>
      </c>
      <c r="M5" s="20">
        <f>ROUND(L5,0)</f>
        <v>0</v>
      </c>
    </row>
    <row r="6" spans="1:13">
      <c r="A6" s="910">
        <v>1446</v>
      </c>
      <c r="B6" s="911" t="s">
        <v>21</v>
      </c>
      <c r="C6" s="1030">
        <v>12947</v>
      </c>
      <c r="D6" s="267" t="s">
        <v>2422</v>
      </c>
      <c r="E6" s="913">
        <v>1.52</v>
      </c>
      <c r="F6" s="20">
        <v>0.05</v>
      </c>
      <c r="G6" s="912">
        <f t="shared" si="0"/>
        <v>0.57000000000000006</v>
      </c>
      <c r="H6" s="912">
        <f t="shared" si="1"/>
        <v>0.36305732484076436</v>
      </c>
      <c r="I6" s="20">
        <f>VLOOKUP(D6,'[2]IBC Pers per Occ'!$A$2:$B$9,2,FALSE)</f>
        <v>120</v>
      </c>
      <c r="J6" s="912">
        <f t="shared" si="2"/>
        <v>107.89166666666667</v>
      </c>
      <c r="K6" s="912">
        <f t="shared" si="3"/>
        <v>39.170859872611466</v>
      </c>
      <c r="L6" s="912">
        <f t="shared" si="4"/>
        <v>0.19585429936305732</v>
      </c>
      <c r="M6" s="20">
        <v>1</v>
      </c>
    </row>
    <row r="7" spans="1:13">
      <c r="A7" s="910">
        <v>2112</v>
      </c>
      <c r="B7" s="911" t="s">
        <v>77</v>
      </c>
      <c r="C7" s="1030">
        <v>16822</v>
      </c>
      <c r="D7" s="267" t="s">
        <v>2423</v>
      </c>
      <c r="E7" s="188">
        <v>1.18</v>
      </c>
      <c r="F7" s="20">
        <v>0.02</v>
      </c>
      <c r="G7" s="912">
        <f t="shared" si="0"/>
        <v>0.19999999999999996</v>
      </c>
      <c r="H7" s="912">
        <f t="shared" si="1"/>
        <v>0.16666666666666663</v>
      </c>
      <c r="I7" s="20">
        <f>VLOOKUP(D7,'[2]IBC Pers per Occ'!$A$2:$B$9,2,FALSE)</f>
        <v>100</v>
      </c>
      <c r="J7" s="912">
        <f t="shared" si="2"/>
        <v>168.22</v>
      </c>
      <c r="K7" s="912">
        <f t="shared" si="3"/>
        <v>28.036666666666662</v>
      </c>
      <c r="L7" s="912">
        <f t="shared" si="4"/>
        <v>0.1401833333333333</v>
      </c>
      <c r="M7" s="20">
        <f t="shared" ref="M7:M43" si="5">ROUND(L7,0)</f>
        <v>0</v>
      </c>
    </row>
    <row r="8" spans="1:13">
      <c r="A8" s="910">
        <v>2121</v>
      </c>
      <c r="B8" s="911" t="s">
        <v>78</v>
      </c>
      <c r="C8" s="1030">
        <v>13696</v>
      </c>
      <c r="D8" s="267" t="s">
        <v>2423</v>
      </c>
      <c r="E8" s="188">
        <v>1.2</v>
      </c>
      <c r="F8" s="20">
        <v>0.06</v>
      </c>
      <c r="G8" s="912">
        <f t="shared" si="0"/>
        <v>0.26</v>
      </c>
      <c r="H8" s="912">
        <f t="shared" si="1"/>
        <v>0.20634920634920637</v>
      </c>
      <c r="I8" s="20">
        <f>VLOOKUP(D8,'[2]IBC Pers per Occ'!$A$2:$B$9,2,FALSE)</f>
        <v>100</v>
      </c>
      <c r="J8" s="912">
        <f t="shared" si="2"/>
        <v>136.96</v>
      </c>
      <c r="K8" s="912">
        <f t="shared" si="3"/>
        <v>28.261587301587305</v>
      </c>
      <c r="L8" s="912">
        <f t="shared" si="4"/>
        <v>0.14130793650793652</v>
      </c>
      <c r="M8" s="20">
        <f t="shared" si="5"/>
        <v>0</v>
      </c>
    </row>
    <row r="9" spans="1:13">
      <c r="A9" s="910">
        <v>2123</v>
      </c>
      <c r="B9" s="911" t="s">
        <v>79</v>
      </c>
      <c r="C9" s="1030">
        <v>12772</v>
      </c>
      <c r="D9" s="267" t="s">
        <v>2423</v>
      </c>
      <c r="E9" s="188">
        <v>1.1000000000000001</v>
      </c>
      <c r="F9" s="326">
        <v>0</v>
      </c>
      <c r="G9" s="912">
        <f t="shared" si="0"/>
        <v>0.10000000000000009</v>
      </c>
      <c r="H9" s="912">
        <f t="shared" si="1"/>
        <v>9.0909090909090981E-2</v>
      </c>
      <c r="I9" s="20">
        <f>VLOOKUP(D9,'[2]IBC Pers per Occ'!$A$2:$B$9,2,FALSE)</f>
        <v>100</v>
      </c>
      <c r="J9" s="912">
        <f t="shared" si="2"/>
        <v>127.72</v>
      </c>
      <c r="K9" s="912">
        <f t="shared" si="3"/>
        <v>11.6109090909091</v>
      </c>
      <c r="L9" s="912">
        <f t="shared" si="4"/>
        <v>5.8054545454545498E-2</v>
      </c>
      <c r="M9" s="20">
        <f t="shared" si="5"/>
        <v>0</v>
      </c>
    </row>
    <row r="10" spans="1:13">
      <c r="A10" s="910">
        <v>2125</v>
      </c>
      <c r="B10" s="911" t="s">
        <v>81</v>
      </c>
      <c r="C10" s="1030">
        <v>30473</v>
      </c>
      <c r="D10" s="1019" t="s">
        <v>2423</v>
      </c>
      <c r="E10" s="188">
        <v>1.03</v>
      </c>
      <c r="F10" s="326">
        <v>0</v>
      </c>
      <c r="G10" s="912">
        <f t="shared" si="0"/>
        <v>3.0000000000000027E-2</v>
      </c>
      <c r="H10" s="912">
        <f t="shared" si="1"/>
        <v>2.9126213592233035E-2</v>
      </c>
      <c r="I10" s="20">
        <v>100</v>
      </c>
      <c r="J10" s="912">
        <f t="shared" si="2"/>
        <v>304.73</v>
      </c>
      <c r="K10" s="912">
        <f t="shared" si="3"/>
        <v>8.875631067961173</v>
      </c>
      <c r="L10" s="912">
        <f>+K10/200</f>
        <v>4.4378155339805866E-2</v>
      </c>
      <c r="M10" s="20">
        <v>0</v>
      </c>
    </row>
    <row r="11" spans="1:13">
      <c r="A11" s="910">
        <v>2126</v>
      </c>
      <c r="B11" s="911" t="s">
        <v>2343</v>
      </c>
      <c r="C11" s="1030">
        <v>33497</v>
      </c>
      <c r="D11" s="1019" t="s">
        <v>2625</v>
      </c>
      <c r="E11" s="188">
        <v>1.26</v>
      </c>
      <c r="F11" s="326">
        <v>0.3</v>
      </c>
      <c r="G11" s="912">
        <f t="shared" si="0"/>
        <v>0.56000000000000005</v>
      </c>
      <c r="H11" s="912">
        <f t="shared" si="1"/>
        <v>0.35897435897435898</v>
      </c>
      <c r="I11" s="20">
        <v>200</v>
      </c>
      <c r="J11" s="912">
        <f t="shared" si="2"/>
        <v>167.48500000000001</v>
      </c>
      <c r="K11" s="912">
        <f t="shared" si="3"/>
        <v>60.122820512820518</v>
      </c>
      <c r="L11" s="912">
        <f>+K11/200</f>
        <v>0.30061410256410259</v>
      </c>
      <c r="M11" s="20">
        <v>0</v>
      </c>
    </row>
    <row r="12" spans="1:13">
      <c r="A12" s="910">
        <v>2134</v>
      </c>
      <c r="B12" s="911" t="s">
        <v>83</v>
      </c>
      <c r="C12" s="1030">
        <v>25271</v>
      </c>
      <c r="D12" s="267" t="s">
        <v>2423</v>
      </c>
      <c r="E12" s="188">
        <v>2.2200000000000002</v>
      </c>
      <c r="F12" s="326">
        <v>0.02</v>
      </c>
      <c r="G12" s="912">
        <f t="shared" si="0"/>
        <v>1.2400000000000002</v>
      </c>
      <c r="H12" s="912">
        <f t="shared" si="1"/>
        <v>0.5535714285714286</v>
      </c>
      <c r="I12" s="20">
        <f>VLOOKUP(D12,'[2]IBC Pers per Occ'!$A$2:$B$9,2,FALSE)</f>
        <v>100</v>
      </c>
      <c r="J12" s="912">
        <f t="shared" si="2"/>
        <v>252.71</v>
      </c>
      <c r="K12" s="912">
        <f t="shared" si="3"/>
        <v>139.89303571428573</v>
      </c>
      <c r="L12" s="912">
        <f t="shared" si="4"/>
        <v>0.69946517857142865</v>
      </c>
      <c r="M12" s="20">
        <v>1</v>
      </c>
    </row>
    <row r="13" spans="1:13">
      <c r="A13" s="910">
        <v>2152</v>
      </c>
      <c r="B13" s="911" t="s">
        <v>84</v>
      </c>
      <c r="C13" s="1030">
        <v>16189</v>
      </c>
      <c r="D13" s="267" t="s">
        <v>2423</v>
      </c>
      <c r="E13" s="188">
        <v>1.04</v>
      </c>
      <c r="F13" s="326">
        <v>0.04</v>
      </c>
      <c r="G13" s="912">
        <f t="shared" si="0"/>
        <v>8.0000000000000071E-2</v>
      </c>
      <c r="H13" s="912">
        <f t="shared" si="1"/>
        <v>7.4074074074074139E-2</v>
      </c>
      <c r="I13" s="20">
        <f>VLOOKUP(D13,'[2]IBC Pers per Occ'!$A$2:$B$9,2,FALSE)</f>
        <v>100</v>
      </c>
      <c r="J13" s="912">
        <f t="shared" si="2"/>
        <v>161.88999999999999</v>
      </c>
      <c r="K13" s="912">
        <f t="shared" si="3"/>
        <v>11.991851851851861</v>
      </c>
      <c r="L13" s="912">
        <f t="shared" si="4"/>
        <v>5.9959259259259302E-2</v>
      </c>
      <c r="M13" s="20">
        <f t="shared" si="5"/>
        <v>0</v>
      </c>
    </row>
    <row r="14" spans="1:13">
      <c r="A14" s="910">
        <v>2162</v>
      </c>
      <c r="B14" s="911" t="s">
        <v>87</v>
      </c>
      <c r="C14" s="1030">
        <v>5337</v>
      </c>
      <c r="D14" s="267" t="s">
        <v>2423</v>
      </c>
      <c r="E14" s="188">
        <v>1.03</v>
      </c>
      <c r="F14" s="326">
        <v>0.01</v>
      </c>
      <c r="G14" s="912">
        <f t="shared" si="0"/>
        <v>4.0000000000000036E-2</v>
      </c>
      <c r="H14" s="912">
        <f t="shared" si="1"/>
        <v>3.8461538461538491E-2</v>
      </c>
      <c r="I14" s="20">
        <f>VLOOKUP(D14,'[2]IBC Pers per Occ'!$A$2:$B$9,2,FALSE)</f>
        <v>100</v>
      </c>
      <c r="J14" s="912">
        <f t="shared" si="2"/>
        <v>53.37</v>
      </c>
      <c r="K14" s="912">
        <f t="shared" si="3"/>
        <v>2.0526923076923094</v>
      </c>
      <c r="L14" s="912">
        <f t="shared" si="4"/>
        <v>1.0263461538461548E-2</v>
      </c>
      <c r="M14" s="20">
        <f t="shared" si="5"/>
        <v>0</v>
      </c>
    </row>
    <row r="15" spans="1:13">
      <c r="A15" s="910">
        <v>2191</v>
      </c>
      <c r="B15" s="911" t="s">
        <v>90</v>
      </c>
      <c r="C15" s="1030">
        <v>5697</v>
      </c>
      <c r="D15" s="267" t="s">
        <v>2423</v>
      </c>
      <c r="E15" s="188">
        <v>1.1399999999999999</v>
      </c>
      <c r="F15" s="326">
        <v>0.01</v>
      </c>
      <c r="G15" s="912">
        <f t="shared" si="0"/>
        <v>0.14999999999999991</v>
      </c>
      <c r="H15" s="912">
        <f t="shared" si="1"/>
        <v>0.13043478260869559</v>
      </c>
      <c r="I15" s="20">
        <f>VLOOKUP(D15,'[2]IBC Pers per Occ'!$A$2:$B$9,2,FALSE)</f>
        <v>100</v>
      </c>
      <c r="J15" s="912">
        <f t="shared" si="2"/>
        <v>56.97</v>
      </c>
      <c r="K15" s="912">
        <f t="shared" si="3"/>
        <v>7.430869565217388</v>
      </c>
      <c r="L15" s="912">
        <f t="shared" si="4"/>
        <v>3.7154347826086939E-2</v>
      </c>
      <c r="M15" s="20">
        <f t="shared" si="5"/>
        <v>0</v>
      </c>
    </row>
    <row r="16" spans="1:13">
      <c r="A16" s="910">
        <v>2211</v>
      </c>
      <c r="B16" s="911" t="s">
        <v>92</v>
      </c>
      <c r="C16" s="1030">
        <v>67917</v>
      </c>
      <c r="D16" s="267" t="s">
        <v>2423</v>
      </c>
      <c r="E16" s="188">
        <v>1.1599999999999999</v>
      </c>
      <c r="F16" s="326">
        <v>0.01</v>
      </c>
      <c r="G16" s="912">
        <f t="shared" si="0"/>
        <v>0.16999999999999993</v>
      </c>
      <c r="H16" s="912">
        <f t="shared" si="1"/>
        <v>0.14529914529914525</v>
      </c>
      <c r="I16" s="20">
        <f>VLOOKUP(D16,'[2]IBC Pers per Occ'!$A$2:$B$9,2,FALSE)</f>
        <v>100</v>
      </c>
      <c r="J16" s="912">
        <f t="shared" si="2"/>
        <v>679.17</v>
      </c>
      <c r="K16" s="912">
        <f t="shared" si="3"/>
        <v>98.68282051282047</v>
      </c>
      <c r="L16" s="912">
        <f t="shared" si="4"/>
        <v>0.49341410256410234</v>
      </c>
      <c r="M16" s="20">
        <v>1</v>
      </c>
    </row>
    <row r="17" spans="1:13">
      <c r="A17" s="910">
        <v>3101</v>
      </c>
      <c r="B17" s="911" t="s">
        <v>104</v>
      </c>
      <c r="C17" s="1030">
        <v>18973</v>
      </c>
      <c r="D17" s="267" t="s">
        <v>2342</v>
      </c>
      <c r="E17" s="914">
        <v>1.55</v>
      </c>
      <c r="F17" s="326">
        <v>0.09</v>
      </c>
      <c r="G17" s="912">
        <f t="shared" si="0"/>
        <v>0.64000000000000012</v>
      </c>
      <c r="H17" s="912">
        <f t="shared" si="1"/>
        <v>0.39024390243902446</v>
      </c>
      <c r="I17" s="20">
        <v>150</v>
      </c>
      <c r="J17" s="912">
        <f t="shared" si="2"/>
        <v>126.48666666666666</v>
      </c>
      <c r="K17" s="912">
        <f t="shared" si="3"/>
        <v>49.360650406504071</v>
      </c>
      <c r="L17" s="912">
        <f t="shared" si="4"/>
        <v>0.24680325203252035</v>
      </c>
      <c r="M17" s="20">
        <v>1</v>
      </c>
    </row>
    <row r="18" spans="1:13">
      <c r="A18" s="910">
        <v>3102</v>
      </c>
      <c r="B18" s="911" t="s">
        <v>105</v>
      </c>
      <c r="C18" s="1030">
        <v>47442</v>
      </c>
      <c r="D18" s="267" t="s">
        <v>2342</v>
      </c>
      <c r="E18" s="188">
        <v>2.1800000000000002</v>
      </c>
      <c r="F18" s="326">
        <v>0.39</v>
      </c>
      <c r="G18" s="912">
        <f t="shared" si="0"/>
        <v>1.5700000000000003</v>
      </c>
      <c r="H18" s="912">
        <f t="shared" si="1"/>
        <v>0.6108949416342413</v>
      </c>
      <c r="I18" s="20">
        <v>150</v>
      </c>
      <c r="J18" s="912">
        <f t="shared" si="2"/>
        <v>316.27999999999997</v>
      </c>
      <c r="K18" s="912">
        <f t="shared" si="3"/>
        <v>193.21385214007782</v>
      </c>
      <c r="L18" s="912">
        <f t="shared" si="4"/>
        <v>0.96606926070038912</v>
      </c>
      <c r="M18" s="20">
        <f t="shared" si="5"/>
        <v>1</v>
      </c>
    </row>
    <row r="19" spans="1:13">
      <c r="A19" s="910">
        <v>3103</v>
      </c>
      <c r="B19" s="911" t="s">
        <v>2638</v>
      </c>
      <c r="C19" s="1030">
        <v>23686</v>
      </c>
      <c r="D19" s="1019" t="s">
        <v>2625</v>
      </c>
      <c r="E19" s="188">
        <v>1.1100000000000001</v>
      </c>
      <c r="F19" s="326">
        <v>0</v>
      </c>
      <c r="G19" s="912">
        <f t="shared" si="0"/>
        <v>0.1100000000000001</v>
      </c>
      <c r="H19" s="912">
        <f t="shared" si="1"/>
        <v>9.9099099099099183E-2</v>
      </c>
      <c r="I19" s="20">
        <v>200</v>
      </c>
      <c r="J19" s="912">
        <f t="shared" si="2"/>
        <v>118.43</v>
      </c>
      <c r="K19" s="912">
        <f t="shared" si="3"/>
        <v>11.736306306306316</v>
      </c>
      <c r="L19" s="912">
        <f t="shared" si="4"/>
        <v>5.8681531531531578E-2</v>
      </c>
      <c r="M19" s="20">
        <v>0</v>
      </c>
    </row>
    <row r="20" spans="1:13">
      <c r="A20" s="910">
        <v>3131</v>
      </c>
      <c r="B20" s="911" t="s">
        <v>108</v>
      </c>
      <c r="C20" s="1030">
        <v>31089</v>
      </c>
      <c r="D20" s="267" t="s">
        <v>2423</v>
      </c>
      <c r="E20" s="188">
        <v>1.63</v>
      </c>
      <c r="F20" s="326">
        <v>0.26</v>
      </c>
      <c r="G20" s="912">
        <f t="shared" si="0"/>
        <v>0.8899999999999999</v>
      </c>
      <c r="H20" s="912">
        <f t="shared" si="1"/>
        <v>0.47089947089947087</v>
      </c>
      <c r="I20" s="20">
        <f>VLOOKUP(D20,'[2]IBC Pers per Occ'!$A$2:$B$9,2,FALSE)</f>
        <v>100</v>
      </c>
      <c r="J20" s="912">
        <f t="shared" si="2"/>
        <v>310.89</v>
      </c>
      <c r="K20" s="912">
        <f t="shared" si="3"/>
        <v>146.39793650793649</v>
      </c>
      <c r="L20" s="912">
        <f t="shared" si="4"/>
        <v>0.73198968253968244</v>
      </c>
      <c r="M20" s="20">
        <v>1</v>
      </c>
    </row>
    <row r="21" spans="1:13">
      <c r="A21" s="910">
        <v>3151</v>
      </c>
      <c r="B21" s="911" t="s">
        <v>110</v>
      </c>
      <c r="C21" s="1030">
        <v>12375</v>
      </c>
      <c r="D21" s="267" t="s">
        <v>2625</v>
      </c>
      <c r="E21" s="188">
        <v>1.54</v>
      </c>
      <c r="F21" s="326">
        <v>0.03</v>
      </c>
      <c r="G21" s="912">
        <f t="shared" si="0"/>
        <v>0.57000000000000006</v>
      </c>
      <c r="H21" s="912">
        <f t="shared" si="1"/>
        <v>0.36305732484076436</v>
      </c>
      <c r="I21" s="20">
        <v>200</v>
      </c>
      <c r="J21" s="912">
        <f t="shared" si="2"/>
        <v>61.875</v>
      </c>
      <c r="K21" s="912">
        <f t="shared" si="3"/>
        <v>22.464171974522294</v>
      </c>
      <c r="L21" s="912">
        <f t="shared" si="4"/>
        <v>0.11232085987261148</v>
      </c>
      <c r="M21" s="20">
        <v>1</v>
      </c>
    </row>
    <row r="22" spans="1:13">
      <c r="A22" s="910">
        <v>3161</v>
      </c>
      <c r="B22" s="911" t="s">
        <v>111</v>
      </c>
      <c r="C22" s="1030">
        <v>3592</v>
      </c>
      <c r="D22" s="267" t="s">
        <v>2625</v>
      </c>
      <c r="E22" s="188">
        <v>1.1599999999999999</v>
      </c>
      <c r="F22" s="326">
        <v>0.03</v>
      </c>
      <c r="G22" s="912">
        <f t="shared" si="0"/>
        <v>0.18999999999999995</v>
      </c>
      <c r="H22" s="912">
        <f t="shared" si="1"/>
        <v>0.15966386554621845</v>
      </c>
      <c r="I22" s="20">
        <v>200</v>
      </c>
      <c r="J22" s="912">
        <f t="shared" si="2"/>
        <v>17.96</v>
      </c>
      <c r="K22" s="912">
        <f t="shared" si="3"/>
        <v>2.8675630252100834</v>
      </c>
      <c r="L22" s="912">
        <f t="shared" si="4"/>
        <v>1.4337815126050417E-2</v>
      </c>
      <c r="M22" s="20">
        <f t="shared" si="5"/>
        <v>0</v>
      </c>
    </row>
    <row r="23" spans="1:13">
      <c r="A23" s="910">
        <v>3171</v>
      </c>
      <c r="B23" s="911" t="s">
        <v>112</v>
      </c>
      <c r="C23" s="1030">
        <v>12742</v>
      </c>
      <c r="D23" s="267" t="s">
        <v>2423</v>
      </c>
      <c r="E23" s="188">
        <v>1.38</v>
      </c>
      <c r="F23" s="326">
        <v>0.06</v>
      </c>
      <c r="G23" s="912">
        <f t="shared" si="0"/>
        <v>0.43999999999999995</v>
      </c>
      <c r="H23" s="912">
        <f t="shared" si="1"/>
        <v>0.30555555555555552</v>
      </c>
      <c r="I23" s="20">
        <f>VLOOKUP(D23,'[2]IBC Pers per Occ'!$A$2:$B$9,2,FALSE)</f>
        <v>100</v>
      </c>
      <c r="J23" s="912">
        <f t="shared" si="2"/>
        <v>127.42</v>
      </c>
      <c r="K23" s="912">
        <f t="shared" si="3"/>
        <v>38.933888888888887</v>
      </c>
      <c r="L23" s="912">
        <f t="shared" si="4"/>
        <v>0.19466944444444445</v>
      </c>
      <c r="M23" s="20">
        <f t="shared" si="5"/>
        <v>0</v>
      </c>
    </row>
    <row r="24" spans="1:13">
      <c r="A24" s="910">
        <v>3181</v>
      </c>
      <c r="B24" s="911" t="s">
        <v>113</v>
      </c>
      <c r="C24" s="1030">
        <v>11527</v>
      </c>
      <c r="D24" s="267" t="s">
        <v>2423</v>
      </c>
      <c r="E24" s="188">
        <v>1.31</v>
      </c>
      <c r="F24" s="326">
        <v>0.12</v>
      </c>
      <c r="G24" s="912">
        <f t="shared" si="0"/>
        <v>0.43000000000000016</v>
      </c>
      <c r="H24" s="912">
        <f t="shared" si="1"/>
        <v>0.30069930069930079</v>
      </c>
      <c r="I24" s="20">
        <f>VLOOKUP(D24,'[2]IBC Pers per Occ'!$A$2:$B$9,2,FALSE)</f>
        <v>100</v>
      </c>
      <c r="J24" s="912">
        <f t="shared" si="2"/>
        <v>115.27</v>
      </c>
      <c r="K24" s="912">
        <f t="shared" si="3"/>
        <v>34.661608391608404</v>
      </c>
      <c r="L24" s="912">
        <f t="shared" si="4"/>
        <v>0.17330804195804203</v>
      </c>
      <c r="M24" s="20">
        <f t="shared" si="5"/>
        <v>0</v>
      </c>
    </row>
    <row r="25" spans="1:13">
      <c r="A25" s="910">
        <v>3191</v>
      </c>
      <c r="B25" s="911" t="s">
        <v>114</v>
      </c>
      <c r="C25" s="1030">
        <v>9562</v>
      </c>
      <c r="D25" s="267" t="s">
        <v>2423</v>
      </c>
      <c r="E25" s="188">
        <v>1.21</v>
      </c>
      <c r="F25" s="326">
        <v>0.04</v>
      </c>
      <c r="G25" s="912">
        <f t="shared" si="0"/>
        <v>0.25</v>
      </c>
      <c r="H25" s="912">
        <f t="shared" si="1"/>
        <v>0.2</v>
      </c>
      <c r="I25" s="20">
        <f>VLOOKUP(D25,'[2]IBC Pers per Occ'!$A$2:$B$9,2,FALSE)</f>
        <v>100</v>
      </c>
      <c r="J25" s="912">
        <f t="shared" si="2"/>
        <v>95.62</v>
      </c>
      <c r="K25" s="912">
        <f t="shared" si="3"/>
        <v>19.124000000000002</v>
      </c>
      <c r="L25" s="912">
        <f t="shared" si="4"/>
        <v>9.5620000000000011E-2</v>
      </c>
      <c r="M25" s="20">
        <f t="shared" si="5"/>
        <v>0</v>
      </c>
    </row>
    <row r="26" spans="1:13">
      <c r="A26" s="910">
        <v>3201</v>
      </c>
      <c r="B26" s="911" t="s">
        <v>115</v>
      </c>
      <c r="C26" s="1030">
        <v>13227</v>
      </c>
      <c r="D26" s="267" t="s">
        <v>2423</v>
      </c>
      <c r="E26" s="188">
        <v>1.88</v>
      </c>
      <c r="F26" s="326">
        <v>0.11</v>
      </c>
      <c r="G26" s="912">
        <f t="shared" si="0"/>
        <v>0.99</v>
      </c>
      <c r="H26" s="912">
        <f t="shared" si="1"/>
        <v>0.49748743718592964</v>
      </c>
      <c r="I26" s="20">
        <f>VLOOKUP(D26,'[2]IBC Pers per Occ'!$A$2:$B$9,2,FALSE)</f>
        <v>100</v>
      </c>
      <c r="J26" s="912">
        <f t="shared" si="2"/>
        <v>132.27000000000001</v>
      </c>
      <c r="K26" s="912">
        <f t="shared" si="3"/>
        <v>65.802663316582922</v>
      </c>
      <c r="L26" s="912">
        <f t="shared" si="4"/>
        <v>0.32901331658291461</v>
      </c>
      <c r="M26" s="20">
        <v>1</v>
      </c>
    </row>
    <row r="27" spans="1:13">
      <c r="A27" s="910">
        <v>4414</v>
      </c>
      <c r="B27" s="911" t="s">
        <v>122</v>
      </c>
      <c r="C27" s="1030">
        <v>25719</v>
      </c>
      <c r="D27" s="267" t="s">
        <v>2424</v>
      </c>
      <c r="E27" s="188">
        <v>1.1299999999999999</v>
      </c>
      <c r="F27" s="326">
        <v>0.03</v>
      </c>
      <c r="G27" s="912">
        <f t="shared" si="0"/>
        <v>0.15999999999999992</v>
      </c>
      <c r="H27" s="912">
        <f t="shared" si="1"/>
        <v>0.13793103448275856</v>
      </c>
      <c r="I27" s="20">
        <f>VLOOKUP(D27,'[2]IBC Pers per Occ'!$A$2:$B$9,2,FALSE)</f>
        <v>500</v>
      </c>
      <c r="J27" s="912">
        <f t="shared" si="2"/>
        <v>51.438000000000002</v>
      </c>
      <c r="K27" s="912">
        <f t="shared" si="3"/>
        <v>7.0948965517241351</v>
      </c>
      <c r="L27" s="912">
        <f t="shared" si="4"/>
        <v>3.5474482758620675E-2</v>
      </c>
      <c r="M27" s="20">
        <f t="shared" si="5"/>
        <v>0</v>
      </c>
    </row>
    <row r="28" spans="1:13">
      <c r="A28" s="910">
        <v>4424</v>
      </c>
      <c r="B28" s="911" t="s">
        <v>123</v>
      </c>
      <c r="C28" s="1030">
        <v>22525</v>
      </c>
      <c r="D28" s="267" t="s">
        <v>2424</v>
      </c>
      <c r="E28" s="188">
        <v>1.04</v>
      </c>
      <c r="F28" s="326">
        <v>0.01</v>
      </c>
      <c r="G28" s="912">
        <f t="shared" si="0"/>
        <v>5.0000000000000044E-2</v>
      </c>
      <c r="H28" s="912">
        <f t="shared" si="1"/>
        <v>4.7619047619047658E-2</v>
      </c>
      <c r="I28" s="20">
        <f>VLOOKUP(D28,'[2]IBC Pers per Occ'!$A$2:$B$9,2,FALSE)</f>
        <v>500</v>
      </c>
      <c r="J28" s="912">
        <f t="shared" si="2"/>
        <v>45.05</v>
      </c>
      <c r="K28" s="912">
        <f t="shared" si="3"/>
        <v>2.1452380952380969</v>
      </c>
      <c r="L28" s="912">
        <f t="shared" si="4"/>
        <v>1.0726190476190485E-2</v>
      </c>
      <c r="M28" s="20">
        <f t="shared" si="5"/>
        <v>0</v>
      </c>
    </row>
    <row r="29" spans="1:13">
      <c r="A29" s="910">
        <v>5302</v>
      </c>
      <c r="B29" s="911" t="s">
        <v>129</v>
      </c>
      <c r="C29" s="1030">
        <v>11549</v>
      </c>
      <c r="D29" s="20" t="s">
        <v>2342</v>
      </c>
      <c r="E29" s="188">
        <v>1.32</v>
      </c>
      <c r="F29" s="326">
        <v>0.02</v>
      </c>
      <c r="G29" s="912">
        <f t="shared" si="0"/>
        <v>0.34000000000000008</v>
      </c>
      <c r="H29" s="912">
        <f t="shared" si="1"/>
        <v>0.25373134328358216</v>
      </c>
      <c r="I29" s="20">
        <v>150</v>
      </c>
      <c r="J29" s="912">
        <f t="shared" si="2"/>
        <v>76.993333333333339</v>
      </c>
      <c r="K29" s="912">
        <f t="shared" si="3"/>
        <v>19.535621890547269</v>
      </c>
      <c r="L29" s="912">
        <f t="shared" si="4"/>
        <v>9.7678109452736347E-2</v>
      </c>
      <c r="M29" s="20">
        <v>1</v>
      </c>
    </row>
    <row r="30" spans="1:13">
      <c r="A30" s="910">
        <v>5304</v>
      </c>
      <c r="B30" s="911" t="s">
        <v>131</v>
      </c>
      <c r="C30" s="1030">
        <v>3440</v>
      </c>
      <c r="D30" s="20" t="s">
        <v>2342</v>
      </c>
      <c r="E30" s="188">
        <v>1.05</v>
      </c>
      <c r="F30" s="326">
        <v>0</v>
      </c>
      <c r="G30" s="912">
        <f t="shared" si="0"/>
        <v>5.0000000000000044E-2</v>
      </c>
      <c r="H30" s="912">
        <f t="shared" si="1"/>
        <v>4.7619047619047658E-2</v>
      </c>
      <c r="I30" s="20">
        <v>150</v>
      </c>
      <c r="J30" s="912">
        <f t="shared" si="2"/>
        <v>22.933333333333334</v>
      </c>
      <c r="K30" s="912">
        <f t="shared" si="3"/>
        <v>1.0920634920634931</v>
      </c>
      <c r="L30" s="912">
        <f t="shared" si="4"/>
        <v>5.4603174603174657E-3</v>
      </c>
      <c r="M30" s="20">
        <v>0</v>
      </c>
    </row>
    <row r="31" spans="1:13">
      <c r="A31" s="910">
        <v>7215</v>
      </c>
      <c r="B31" s="911" t="s">
        <v>143</v>
      </c>
      <c r="C31" s="1030">
        <v>94185</v>
      </c>
      <c r="D31" s="20" t="s">
        <v>2425</v>
      </c>
      <c r="E31" s="188">
        <v>2.89</v>
      </c>
      <c r="F31" s="326">
        <v>0.46</v>
      </c>
      <c r="G31" s="912">
        <f t="shared" si="0"/>
        <v>2.35</v>
      </c>
      <c r="H31" s="912">
        <f t="shared" si="1"/>
        <v>0.70149253731343286</v>
      </c>
      <c r="I31" s="20">
        <v>100</v>
      </c>
      <c r="J31" s="912">
        <f t="shared" si="2"/>
        <v>941.85</v>
      </c>
      <c r="K31" s="912">
        <f t="shared" si="3"/>
        <v>660.70074626865676</v>
      </c>
      <c r="L31" s="912">
        <f t="shared" si="4"/>
        <v>3.3035037313432838</v>
      </c>
      <c r="M31" s="20">
        <f t="shared" si="5"/>
        <v>3</v>
      </c>
    </row>
    <row r="32" spans="1:13">
      <c r="A32" s="910">
        <v>7231</v>
      </c>
      <c r="B32" s="911" t="s">
        <v>144</v>
      </c>
      <c r="C32" s="1030">
        <v>3352</v>
      </c>
      <c r="D32" s="20" t="s">
        <v>2424</v>
      </c>
      <c r="E32" s="188">
        <v>1.1399999999999999</v>
      </c>
      <c r="F32" s="326">
        <v>0.02</v>
      </c>
      <c r="G32" s="912">
        <f t="shared" si="0"/>
        <v>0.15999999999999992</v>
      </c>
      <c r="H32" s="912">
        <f t="shared" si="1"/>
        <v>0.13793103448275856</v>
      </c>
      <c r="I32" s="20">
        <f>VLOOKUP(D32,'[2]IBC Pers per Occ'!$A$2:$B$9,2,FALSE)</f>
        <v>500</v>
      </c>
      <c r="J32" s="912">
        <f t="shared" si="2"/>
        <v>6.7039999999999997</v>
      </c>
      <c r="K32" s="912">
        <f t="shared" si="3"/>
        <v>0.92468965517241342</v>
      </c>
      <c r="L32" s="912">
        <f t="shared" si="4"/>
        <v>4.6234482758620672E-3</v>
      </c>
      <c r="M32" s="20">
        <f t="shared" si="5"/>
        <v>0</v>
      </c>
    </row>
    <row r="33" spans="1:16">
      <c r="A33" s="910">
        <v>7312</v>
      </c>
      <c r="B33" s="911" t="s">
        <v>152</v>
      </c>
      <c r="C33" s="1030">
        <v>16966</v>
      </c>
      <c r="D33" s="20" t="s">
        <v>2422</v>
      </c>
      <c r="E33" s="188">
        <v>1.26</v>
      </c>
      <c r="F33" s="326">
        <v>0.02</v>
      </c>
      <c r="G33" s="912">
        <f t="shared" si="0"/>
        <v>0.28000000000000003</v>
      </c>
      <c r="H33" s="912">
        <f t="shared" si="1"/>
        <v>0.21875000000000003</v>
      </c>
      <c r="I33" s="20">
        <f>VLOOKUP(D33,'[2]IBC Pers per Occ'!$A$2:$B$9,2,FALSE)</f>
        <v>120</v>
      </c>
      <c r="J33" s="912">
        <f t="shared" si="2"/>
        <v>141.38333333333333</v>
      </c>
      <c r="K33" s="912">
        <f t="shared" si="3"/>
        <v>30.927604166666669</v>
      </c>
      <c r="L33" s="912">
        <f t="shared" si="4"/>
        <v>0.15463802083333333</v>
      </c>
      <c r="M33" s="20">
        <f t="shared" si="5"/>
        <v>0</v>
      </c>
    </row>
    <row r="34" spans="1:16">
      <c r="A34" s="910">
        <v>7313</v>
      </c>
      <c r="B34" s="911" t="s">
        <v>153</v>
      </c>
      <c r="C34" s="1030">
        <v>7940</v>
      </c>
      <c r="D34" s="20" t="s">
        <v>2342</v>
      </c>
      <c r="E34" s="188">
        <v>1.23</v>
      </c>
      <c r="F34" s="326">
        <v>0.05</v>
      </c>
      <c r="G34" s="912">
        <f t="shared" si="0"/>
        <v>0.28000000000000003</v>
      </c>
      <c r="H34" s="912">
        <f t="shared" si="1"/>
        <v>0.21875000000000003</v>
      </c>
      <c r="I34" s="20">
        <v>150</v>
      </c>
      <c r="J34" s="912">
        <f t="shared" si="2"/>
        <v>52.93333333333333</v>
      </c>
      <c r="K34" s="912">
        <f t="shared" si="3"/>
        <v>11.579166666666667</v>
      </c>
      <c r="L34" s="912">
        <f t="shared" si="4"/>
        <v>5.7895833333333341E-2</v>
      </c>
      <c r="M34" s="20">
        <f t="shared" si="5"/>
        <v>0</v>
      </c>
    </row>
    <row r="35" spans="1:16">
      <c r="A35" s="910">
        <v>7331</v>
      </c>
      <c r="B35" s="911" t="s">
        <v>158</v>
      </c>
      <c r="C35" s="1030">
        <v>8161</v>
      </c>
      <c r="D35" s="20" t="s">
        <v>2342</v>
      </c>
      <c r="E35" s="188">
        <v>1.21</v>
      </c>
      <c r="F35" s="326">
        <v>0.03</v>
      </c>
      <c r="G35" s="912">
        <f t="shared" si="0"/>
        <v>0.24</v>
      </c>
      <c r="H35" s="912">
        <f t="shared" si="1"/>
        <v>0.19354838709677419</v>
      </c>
      <c r="I35" s="20">
        <v>150</v>
      </c>
      <c r="J35" s="912">
        <f t="shared" si="2"/>
        <v>54.406666666666666</v>
      </c>
      <c r="K35" s="912">
        <f t="shared" si="3"/>
        <v>10.53032258064516</v>
      </c>
      <c r="L35" s="912">
        <f t="shared" si="4"/>
        <v>5.26516129032258E-2</v>
      </c>
      <c r="M35" s="20">
        <f t="shared" si="5"/>
        <v>0</v>
      </c>
    </row>
    <row r="36" spans="1:16">
      <c r="A36" s="910">
        <v>7333</v>
      </c>
      <c r="B36" s="911" t="s">
        <v>159</v>
      </c>
      <c r="C36" s="1030">
        <v>18628</v>
      </c>
      <c r="D36" s="20" t="s">
        <v>2382</v>
      </c>
      <c r="E36" s="188">
        <v>1.33</v>
      </c>
      <c r="F36" s="326">
        <v>0.08</v>
      </c>
      <c r="G36" s="912">
        <f t="shared" si="0"/>
        <v>0.41000000000000014</v>
      </c>
      <c r="H36" s="912">
        <f t="shared" si="1"/>
        <v>0.29078014184397172</v>
      </c>
      <c r="I36" s="20">
        <f>VLOOKUP(D36,'[2]IBC Pers per Occ'!$A$2:$B$9,2,FALSE)</f>
        <v>15</v>
      </c>
      <c r="J36" s="912">
        <f t="shared" si="2"/>
        <v>1241.8666666666666</v>
      </c>
      <c r="K36" s="912">
        <f t="shared" si="3"/>
        <v>361.11016548463363</v>
      </c>
      <c r="L36" s="912">
        <f t="shared" si="4"/>
        <v>1.8055508274231682</v>
      </c>
      <c r="M36" s="20">
        <f t="shared" si="5"/>
        <v>2</v>
      </c>
    </row>
    <row r="37" spans="1:16">
      <c r="A37" s="910">
        <v>7346</v>
      </c>
      <c r="B37" s="911" t="s">
        <v>165</v>
      </c>
      <c r="C37" s="1030">
        <v>27732</v>
      </c>
      <c r="D37" s="20" t="s">
        <v>2426</v>
      </c>
      <c r="E37" s="188">
        <v>1.21</v>
      </c>
      <c r="F37" s="326">
        <v>0.02</v>
      </c>
      <c r="G37" s="912">
        <f t="shared" si="0"/>
        <v>0.22999999999999998</v>
      </c>
      <c r="H37" s="912">
        <f t="shared" si="1"/>
        <v>0.18699186991869918</v>
      </c>
      <c r="I37" s="20">
        <f>VLOOKUP(D37,'[2]IBC Pers per Occ'!$A$2:$B$9,2,FALSE)</f>
        <v>60</v>
      </c>
      <c r="J37" s="912">
        <f t="shared" si="2"/>
        <v>462.2</v>
      </c>
      <c r="K37" s="912">
        <f t="shared" si="3"/>
        <v>86.427642276422759</v>
      </c>
      <c r="L37" s="912">
        <f t="shared" si="4"/>
        <v>0.43213821138211378</v>
      </c>
      <c r="M37" s="20">
        <f t="shared" si="5"/>
        <v>0</v>
      </c>
    </row>
    <row r="38" spans="1:16">
      <c r="A38" s="910">
        <v>7347</v>
      </c>
      <c r="B38" s="911" t="s">
        <v>166</v>
      </c>
      <c r="C38" s="1030">
        <v>4719</v>
      </c>
      <c r="D38" s="20" t="s">
        <v>2759</v>
      </c>
      <c r="E38" s="188">
        <v>1.0900000000000001</v>
      </c>
      <c r="F38" s="326">
        <v>0</v>
      </c>
      <c r="G38" s="912">
        <f t="shared" si="0"/>
        <v>9.000000000000008E-2</v>
      </c>
      <c r="H38" s="912">
        <f t="shared" si="1"/>
        <v>8.2568807339449615E-2</v>
      </c>
      <c r="I38" s="20">
        <v>150</v>
      </c>
      <c r="J38" s="912">
        <f t="shared" si="2"/>
        <v>31.46</v>
      </c>
      <c r="K38" s="912">
        <f t="shared" si="3"/>
        <v>2.597614678899085</v>
      </c>
      <c r="L38" s="912">
        <f t="shared" si="4"/>
        <v>1.2988073394495425E-2</v>
      </c>
      <c r="M38" s="20">
        <v>0</v>
      </c>
    </row>
    <row r="39" spans="1:16">
      <c r="A39" s="910">
        <v>7349</v>
      </c>
      <c r="B39" s="911" t="s">
        <v>168</v>
      </c>
      <c r="C39" s="1030">
        <v>69356</v>
      </c>
      <c r="D39" s="20" t="s">
        <v>2426</v>
      </c>
      <c r="E39" s="188">
        <v>1.23</v>
      </c>
      <c r="F39" s="326">
        <v>0.03</v>
      </c>
      <c r="G39" s="912">
        <f t="shared" si="0"/>
        <v>0.26</v>
      </c>
      <c r="H39" s="912">
        <f t="shared" si="1"/>
        <v>0.20634920634920637</v>
      </c>
      <c r="I39" s="20">
        <f>VLOOKUP(D39,'[2]IBC Pers per Occ'!$A$2:$B$9,2,FALSE)</f>
        <v>60</v>
      </c>
      <c r="J39" s="912">
        <f t="shared" si="2"/>
        <v>1155.9333333333334</v>
      </c>
      <c r="K39" s="912">
        <f t="shared" si="3"/>
        <v>238.52592592592595</v>
      </c>
      <c r="L39" s="912">
        <f t="shared" si="4"/>
        <v>1.1926296296296297</v>
      </c>
      <c r="M39" s="20">
        <f t="shared" si="5"/>
        <v>1</v>
      </c>
    </row>
    <row r="40" spans="1:16">
      <c r="A40" s="910">
        <v>7351</v>
      </c>
      <c r="B40" s="911" t="s">
        <v>169</v>
      </c>
      <c r="C40" s="1030">
        <v>20768</v>
      </c>
      <c r="D40" s="20" t="s">
        <v>2427</v>
      </c>
      <c r="E40" s="188">
        <v>1.63</v>
      </c>
      <c r="F40" s="326">
        <v>0.09</v>
      </c>
      <c r="G40" s="912">
        <f t="shared" si="0"/>
        <v>0.72</v>
      </c>
      <c r="H40" s="912">
        <f t="shared" si="1"/>
        <v>0.41860465116279066</v>
      </c>
      <c r="I40" s="20">
        <f>VLOOKUP(D40,'[2]IBC Pers per Occ'!$A$2:$B$9,2,FALSE)</f>
        <v>20</v>
      </c>
      <c r="J40" s="912">
        <f t="shared" si="2"/>
        <v>1038.4000000000001</v>
      </c>
      <c r="K40" s="912">
        <f t="shared" si="3"/>
        <v>434.67906976744189</v>
      </c>
      <c r="L40" s="912">
        <f t="shared" si="4"/>
        <v>2.1733953488372095</v>
      </c>
      <c r="M40" s="20">
        <f t="shared" si="5"/>
        <v>2</v>
      </c>
    </row>
    <row r="41" spans="1:16">
      <c r="A41" s="910">
        <v>7362</v>
      </c>
      <c r="B41" s="911" t="s">
        <v>171</v>
      </c>
      <c r="C41" s="1030">
        <v>6525</v>
      </c>
      <c r="D41" s="20" t="s">
        <v>2427</v>
      </c>
      <c r="E41" s="188">
        <v>1.17</v>
      </c>
      <c r="F41" s="326">
        <v>0.02</v>
      </c>
      <c r="G41" s="912">
        <f t="shared" si="0"/>
        <v>0.18999999999999995</v>
      </c>
      <c r="H41" s="912">
        <f t="shared" si="1"/>
        <v>0.15966386554621845</v>
      </c>
      <c r="I41" s="20">
        <f>VLOOKUP(D41,'[2]IBC Pers per Occ'!$A$2:$B$9,2,FALSE)</f>
        <v>20</v>
      </c>
      <c r="J41" s="912">
        <f t="shared" si="2"/>
        <v>326.25</v>
      </c>
      <c r="K41" s="912">
        <f t="shared" si="3"/>
        <v>52.090336134453771</v>
      </c>
      <c r="L41" s="912">
        <f t="shared" si="4"/>
        <v>0.26045168067226887</v>
      </c>
      <c r="M41" s="20">
        <f t="shared" si="5"/>
        <v>0</v>
      </c>
    </row>
    <row r="42" spans="1:16">
      <c r="A42" s="910">
        <v>7417</v>
      </c>
      <c r="B42" s="911" t="s">
        <v>184</v>
      </c>
      <c r="C42" s="1030">
        <v>10094</v>
      </c>
      <c r="D42" s="20" t="s">
        <v>2382</v>
      </c>
      <c r="E42" s="188">
        <v>1.25</v>
      </c>
      <c r="F42" s="326">
        <v>0.08</v>
      </c>
      <c r="G42" s="912">
        <f t="shared" si="0"/>
        <v>0.33000000000000007</v>
      </c>
      <c r="H42" s="912">
        <f t="shared" si="1"/>
        <v>0.24812030075187974</v>
      </c>
      <c r="I42" s="20">
        <f>VLOOKUP(D42,'[2]IBC Pers per Occ'!$A$2:$B$9,2,FALSE)</f>
        <v>15</v>
      </c>
      <c r="J42" s="912">
        <f t="shared" si="2"/>
        <v>672.93333333333328</v>
      </c>
      <c r="K42" s="912">
        <f t="shared" si="3"/>
        <v>166.96842105263158</v>
      </c>
      <c r="L42" s="912">
        <f t="shared" si="4"/>
        <v>0.83484210526315794</v>
      </c>
      <c r="M42" s="20">
        <f t="shared" si="5"/>
        <v>1</v>
      </c>
    </row>
    <row r="43" spans="1:16">
      <c r="A43" s="910">
        <v>8910</v>
      </c>
      <c r="B43" s="911" t="s">
        <v>267</v>
      </c>
      <c r="C43" s="1030">
        <v>1378</v>
      </c>
      <c r="D43" s="20" t="s">
        <v>2422</v>
      </c>
      <c r="E43" s="188">
        <v>1.07</v>
      </c>
      <c r="F43" s="326">
        <v>0.03</v>
      </c>
      <c r="G43" s="912">
        <f t="shared" si="0"/>
        <v>0.10000000000000009</v>
      </c>
      <c r="H43" s="912">
        <f t="shared" si="1"/>
        <v>9.0909090909090981E-2</v>
      </c>
      <c r="I43" s="20">
        <f>VLOOKUP(D43,'[2]IBC Pers per Occ'!$A$2:$B$9,2,FALSE)</f>
        <v>120</v>
      </c>
      <c r="J43" s="912">
        <f t="shared" si="2"/>
        <v>11.483333333333333</v>
      </c>
      <c r="K43" s="912">
        <f t="shared" si="3"/>
        <v>1.0439393939393946</v>
      </c>
      <c r="L43" s="912">
        <f t="shared" si="4"/>
        <v>5.2196969696969731E-3</v>
      </c>
      <c r="M43" s="20">
        <f t="shared" si="5"/>
        <v>0</v>
      </c>
      <c r="P43" s="713"/>
    </row>
    <row r="44" spans="1:16">
      <c r="A44" s="1781"/>
      <c r="B44" s="1782"/>
      <c r="C44" s="1782"/>
      <c r="D44" s="1782"/>
      <c r="E44" s="1782"/>
      <c r="F44" s="1782"/>
      <c r="G44" s="1782"/>
      <c r="H44" s="1782"/>
      <c r="I44" s="1782"/>
      <c r="J44" s="1782"/>
      <c r="K44" s="1782"/>
      <c r="L44" s="1782"/>
      <c r="M44" s="1783"/>
      <c r="P44" s="713"/>
    </row>
    <row r="45" spans="1:16">
      <c r="A45" s="1383" t="s">
        <v>2353</v>
      </c>
      <c r="B45" s="1384"/>
      <c r="C45" s="1384"/>
      <c r="D45" s="1384"/>
      <c r="E45" s="1384"/>
      <c r="F45" s="1384"/>
      <c r="G45" s="1384"/>
      <c r="H45" s="1384"/>
      <c r="I45" s="1384"/>
      <c r="J45" s="1384"/>
      <c r="K45" s="1384"/>
      <c r="L45" s="1384"/>
      <c r="M45" s="1385"/>
    </row>
    <row r="46" spans="1:16">
      <c r="A46" s="45">
        <v>1</v>
      </c>
      <c r="B46" s="1383" t="s">
        <v>2583</v>
      </c>
      <c r="C46" s="1384"/>
      <c r="D46" s="1384"/>
      <c r="E46" s="1384"/>
      <c r="F46" s="1384"/>
      <c r="G46" s="1384"/>
      <c r="H46" s="1384"/>
      <c r="I46" s="1384"/>
      <c r="J46" s="1384"/>
      <c r="K46" s="1384"/>
      <c r="L46" s="1384"/>
      <c r="M46" s="1385"/>
    </row>
    <row r="47" spans="1:16">
      <c r="A47" s="45">
        <v>2</v>
      </c>
      <c r="B47" s="1383" t="s">
        <v>2428</v>
      </c>
      <c r="C47" s="1384"/>
      <c r="D47" s="1384"/>
      <c r="E47" s="1384"/>
      <c r="F47" s="1384"/>
      <c r="G47" s="1384"/>
      <c r="H47" s="1384"/>
      <c r="I47" s="1384"/>
      <c r="J47" s="1384"/>
      <c r="K47" s="1384"/>
      <c r="L47" s="1384"/>
      <c r="M47" s="1385"/>
    </row>
    <row r="48" spans="1:16">
      <c r="A48" s="45">
        <v>3</v>
      </c>
      <c r="B48" s="1383" t="s">
        <v>2565</v>
      </c>
      <c r="C48" s="1384"/>
      <c r="D48" s="1384"/>
      <c r="E48" s="1384"/>
      <c r="F48" s="1384"/>
      <c r="G48" s="1384"/>
      <c r="H48" s="1384"/>
      <c r="I48" s="1384"/>
      <c r="J48" s="1384"/>
      <c r="K48" s="1384"/>
      <c r="L48" s="1384"/>
      <c r="M48" s="1385"/>
    </row>
    <row r="49" spans="1:13">
      <c r="A49" s="45">
        <v>4</v>
      </c>
      <c r="B49" s="1179" t="s">
        <v>2429</v>
      </c>
      <c r="C49" s="1180"/>
      <c r="D49" s="1180"/>
      <c r="E49" s="1180"/>
      <c r="F49" s="1180"/>
      <c r="G49" s="1180"/>
      <c r="H49" s="1180"/>
      <c r="I49" s="1180"/>
      <c r="J49" s="1180"/>
      <c r="K49" s="1180"/>
      <c r="L49" s="1180"/>
      <c r="M49" s="1181"/>
    </row>
    <row r="50" spans="1:13">
      <c r="A50" s="45">
        <v>5</v>
      </c>
      <c r="B50" s="1179" t="s">
        <v>2430</v>
      </c>
      <c r="C50" s="1180"/>
      <c r="D50" s="1180"/>
      <c r="E50" s="1180"/>
      <c r="F50" s="1180"/>
      <c r="G50" s="1180"/>
      <c r="H50" s="1180"/>
      <c r="I50" s="1180"/>
      <c r="J50" s="1180"/>
      <c r="K50" s="1180"/>
      <c r="L50" s="1180"/>
      <c r="M50" s="1181"/>
    </row>
    <row r="51" spans="1:13" ht="16" thickBot="1">
      <c r="A51" s="56">
        <v>6</v>
      </c>
      <c r="B51" s="1620" t="s">
        <v>2431</v>
      </c>
      <c r="C51" s="1621"/>
      <c r="D51" s="1621"/>
      <c r="E51" s="1621"/>
      <c r="F51" s="1621"/>
      <c r="G51" s="1621"/>
      <c r="H51" s="1621"/>
      <c r="I51" s="1621"/>
      <c r="J51" s="1621"/>
      <c r="K51" s="1621"/>
      <c r="L51" s="1621"/>
      <c r="M51" s="1622"/>
    </row>
    <row r="52" spans="1:13">
      <c r="A52" s="1076"/>
      <c r="B52" s="1077"/>
      <c r="C52" s="275"/>
      <c r="D52" s="275"/>
      <c r="E52" s="1078"/>
      <c r="F52" s="275"/>
      <c r="G52" s="275"/>
      <c r="H52" s="275"/>
      <c r="I52" s="275"/>
      <c r="J52" s="275"/>
      <c r="K52" s="275"/>
      <c r="L52" s="275"/>
      <c r="M52" s="275"/>
    </row>
    <row r="53" spans="1:13">
      <c r="A53" s="1076"/>
      <c r="B53" s="1077"/>
      <c r="C53" s="275"/>
      <c r="D53" s="275"/>
      <c r="E53" s="1078"/>
      <c r="F53" s="275"/>
      <c r="G53" s="275"/>
      <c r="H53" s="275"/>
      <c r="I53" s="275"/>
      <c r="J53" s="275"/>
      <c r="K53" s="275"/>
      <c r="L53" s="275"/>
      <c r="M53" s="275"/>
    </row>
    <row r="54" spans="1:13">
      <c r="A54" s="1076"/>
      <c r="B54" s="1077"/>
      <c r="C54" s="275"/>
      <c r="D54" s="275"/>
      <c r="E54" s="1078"/>
      <c r="F54" s="275"/>
      <c r="G54" s="275"/>
      <c r="H54" s="275"/>
      <c r="I54" s="275"/>
      <c r="J54" s="275"/>
      <c r="K54" s="275"/>
      <c r="L54" s="275"/>
      <c r="M54" s="275"/>
    </row>
    <row r="55" spans="1:13">
      <c r="A55" s="1076"/>
      <c r="B55" s="1077"/>
      <c r="C55" s="275"/>
      <c r="D55" s="275"/>
      <c r="E55" s="1078"/>
      <c r="F55" s="275"/>
      <c r="G55" s="275"/>
      <c r="H55" s="275"/>
      <c r="I55" s="275"/>
      <c r="J55" s="275"/>
      <c r="K55" s="275"/>
      <c r="L55" s="275"/>
      <c r="M55" s="275"/>
    </row>
    <row r="56" spans="1:13">
      <c r="A56" s="1076"/>
      <c r="B56" s="1077"/>
      <c r="C56" s="275"/>
      <c r="D56" s="275"/>
      <c r="E56" s="1078"/>
      <c r="F56" s="275"/>
      <c r="G56" s="275"/>
      <c r="H56" s="275"/>
      <c r="I56" s="275"/>
      <c r="J56" s="275"/>
      <c r="K56" s="275"/>
      <c r="L56" s="275"/>
      <c r="M56" s="275"/>
    </row>
    <row r="57" spans="1:13">
      <c r="A57" s="1076"/>
      <c r="B57" s="1077"/>
      <c r="C57" s="275"/>
      <c r="D57" s="275"/>
      <c r="E57" s="1078"/>
      <c r="F57" s="275"/>
      <c r="G57" s="275"/>
      <c r="H57" s="275"/>
      <c r="I57" s="275"/>
      <c r="J57" s="275"/>
      <c r="K57" s="275"/>
      <c r="L57" s="275"/>
      <c r="M57" s="275"/>
    </row>
    <row r="58" spans="1:13">
      <c r="A58" s="1076"/>
      <c r="B58" s="1077"/>
      <c r="C58" s="275"/>
      <c r="D58" s="275"/>
      <c r="E58" s="1078"/>
      <c r="F58" s="275"/>
      <c r="G58" s="275"/>
      <c r="H58" s="275"/>
      <c r="I58" s="275"/>
      <c r="J58" s="275"/>
      <c r="K58" s="275"/>
      <c r="L58" s="275"/>
      <c r="M58" s="275"/>
    </row>
    <row r="59" spans="1:13">
      <c r="A59" s="1076"/>
      <c r="B59" s="1077"/>
      <c r="C59" s="275"/>
      <c r="D59" s="275"/>
      <c r="E59" s="1078"/>
      <c r="F59" s="275"/>
      <c r="G59" s="275"/>
      <c r="H59" s="275"/>
      <c r="I59" s="275"/>
      <c r="J59" s="275"/>
      <c r="K59" s="275"/>
      <c r="L59" s="275"/>
      <c r="M59" s="275"/>
    </row>
    <row r="60" spans="1:13">
      <c r="A60" s="1076"/>
      <c r="B60" s="1077"/>
      <c r="C60" s="275"/>
      <c r="D60" s="275"/>
      <c r="E60" s="1078"/>
      <c r="F60" s="275"/>
      <c r="G60" s="275"/>
      <c r="H60" s="275"/>
      <c r="I60" s="275"/>
      <c r="J60" s="275"/>
      <c r="K60" s="275"/>
      <c r="L60" s="275"/>
      <c r="M60" s="275"/>
    </row>
    <row r="61" spans="1:13">
      <c r="A61" s="1076"/>
      <c r="B61" s="1077"/>
      <c r="C61" s="275"/>
      <c r="D61" s="275"/>
      <c r="E61" s="1078"/>
      <c r="F61" s="275"/>
      <c r="G61" s="275"/>
      <c r="H61" s="275"/>
      <c r="I61" s="275"/>
      <c r="J61" s="275"/>
      <c r="K61" s="275"/>
      <c r="L61" s="275"/>
      <c r="M61" s="275"/>
    </row>
    <row r="62" spans="1:13">
      <c r="A62" s="1076"/>
      <c r="B62" s="1077"/>
      <c r="C62" s="275"/>
      <c r="D62" s="275"/>
      <c r="E62" s="1078"/>
      <c r="F62" s="275"/>
      <c r="G62" s="275"/>
      <c r="H62" s="275"/>
      <c r="I62" s="275"/>
      <c r="J62" s="275"/>
      <c r="K62" s="275"/>
      <c r="L62" s="275"/>
      <c r="M62" s="275"/>
    </row>
    <row r="63" spans="1:13">
      <c r="A63" s="1076"/>
      <c r="B63" s="1077"/>
      <c r="C63" s="275"/>
      <c r="D63" s="275"/>
      <c r="E63" s="1078"/>
      <c r="F63" s="275"/>
      <c r="G63" s="275"/>
      <c r="H63" s="275"/>
      <c r="I63" s="275"/>
      <c r="J63" s="275"/>
      <c r="K63" s="275"/>
      <c r="L63" s="275"/>
      <c r="M63" s="275"/>
    </row>
    <row r="64" spans="1:13">
      <c r="A64" s="1076"/>
      <c r="B64" s="1077"/>
      <c r="C64" s="275"/>
      <c r="D64" s="275"/>
      <c r="E64" s="1078"/>
      <c r="F64" s="275"/>
      <c r="G64" s="275"/>
      <c r="H64" s="275"/>
      <c r="I64" s="275"/>
      <c r="J64" s="275"/>
      <c r="K64" s="275"/>
      <c r="L64" s="275"/>
      <c r="M64" s="275"/>
    </row>
    <row r="65" spans="1:13">
      <c r="A65" s="1076"/>
      <c r="B65" s="1077"/>
      <c r="C65" s="275"/>
      <c r="D65" s="275"/>
      <c r="E65" s="1078"/>
      <c r="F65" s="275"/>
      <c r="G65" s="275"/>
      <c r="H65" s="275"/>
      <c r="I65" s="275"/>
      <c r="J65" s="275"/>
      <c r="K65" s="275"/>
      <c r="L65" s="275"/>
      <c r="M65" s="275"/>
    </row>
    <row r="66" spans="1:13">
      <c r="A66" s="1076"/>
      <c r="B66" s="1077"/>
      <c r="C66" s="275"/>
      <c r="D66" s="275"/>
      <c r="E66" s="1078"/>
      <c r="F66" s="275"/>
      <c r="G66" s="275"/>
      <c r="H66" s="275"/>
      <c r="I66" s="275"/>
      <c r="J66" s="275"/>
      <c r="K66" s="275"/>
      <c r="L66" s="275"/>
      <c r="M66" s="275"/>
    </row>
  </sheetData>
  <mergeCells count="9">
    <mergeCell ref="B50:M50"/>
    <mergeCell ref="B51:M51"/>
    <mergeCell ref="A1:M1"/>
    <mergeCell ref="A44:M44"/>
    <mergeCell ref="B46:M46"/>
    <mergeCell ref="B47:M47"/>
    <mergeCell ref="B48:M48"/>
    <mergeCell ref="B49:M49"/>
    <mergeCell ref="A45:M45"/>
  </mergeCells>
  <conditionalFormatting sqref="E3:E43">
    <cfRule type="cellIs" dxfId="0" priority="1" operator="greaterThan">
      <formula>1.5</formula>
    </cfRule>
  </conditionalFormatting>
  <pageMargins left="0.7" right="0.7" top="0.75" bottom="0.75" header="0.3" footer="0.3"/>
  <pageSetup scale="6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pageSetUpPr fitToPage="1"/>
  </sheetPr>
  <dimension ref="A1"/>
  <sheetViews>
    <sheetView workbookViewId="0"/>
  </sheetViews>
  <sheetFormatPr baseColWidth="10" defaultColWidth="8.83203125" defaultRowHeight="15"/>
  <sheetData/>
  <pageMargins left="0.7" right="0.7" top="0.75" bottom="0.75" header="0.3" footer="0.3"/>
  <pageSetup scale="7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pageSetUpPr fitToPage="1"/>
  </sheetPr>
  <dimension ref="A1:O71"/>
  <sheetViews>
    <sheetView workbookViewId="0">
      <selection activeCell="A33" sqref="A33:H33"/>
    </sheetView>
  </sheetViews>
  <sheetFormatPr baseColWidth="10" defaultColWidth="8.83203125" defaultRowHeight="15"/>
  <cols>
    <col min="1" max="1" width="16.1640625" style="147" customWidth="1"/>
    <col min="2" max="2" width="28.5" style="147" customWidth="1"/>
  </cols>
  <sheetData>
    <row r="1" spans="1:2" ht="39" customHeight="1">
      <c r="A1" s="1784" t="s">
        <v>2670</v>
      </c>
      <c r="B1" s="1784"/>
    </row>
    <row r="2" spans="1:2" ht="16">
      <c r="A2" s="916" t="s">
        <v>2432</v>
      </c>
      <c r="B2" s="916" t="s">
        <v>2433</v>
      </c>
    </row>
    <row r="3" spans="1:2" s="32" customFormat="1">
      <c r="A3" s="917" t="s">
        <v>2434</v>
      </c>
      <c r="B3" s="917" t="s">
        <v>2675</v>
      </c>
    </row>
    <row r="4" spans="1:2" s="32" customFormat="1" ht="48">
      <c r="A4" s="917" t="s">
        <v>2435</v>
      </c>
      <c r="B4" s="904" t="s">
        <v>2677</v>
      </c>
    </row>
    <row r="5" spans="1:2" s="32" customFormat="1" ht="32">
      <c r="A5" s="917" t="s">
        <v>2436</v>
      </c>
      <c r="B5" s="904" t="s">
        <v>2678</v>
      </c>
    </row>
    <row r="6" spans="1:2" s="32" customFormat="1">
      <c r="A6" s="917" t="s">
        <v>2342</v>
      </c>
      <c r="B6" s="917" t="s">
        <v>2676</v>
      </c>
    </row>
    <row r="7" spans="1:2" s="32" customFormat="1">
      <c r="A7" s="917" t="s">
        <v>2427</v>
      </c>
      <c r="B7" s="917" t="s">
        <v>2675</v>
      </c>
    </row>
    <row r="8" spans="1:2" s="32" customFormat="1">
      <c r="A8" s="917" t="s">
        <v>2423</v>
      </c>
      <c r="B8" s="917" t="s">
        <v>2675</v>
      </c>
    </row>
    <row r="9" spans="1:2" s="32" customFormat="1" ht="17">
      <c r="A9" s="917" t="s">
        <v>2437</v>
      </c>
      <c r="B9" s="917" t="s">
        <v>2438</v>
      </c>
    </row>
    <row r="10" spans="1:2" s="32" customFormat="1">
      <c r="A10" s="917" t="s">
        <v>2422</v>
      </c>
      <c r="B10" s="917" t="s">
        <v>2438</v>
      </c>
    </row>
    <row r="11" spans="1:2" s="32" customFormat="1">
      <c r="A11" s="917" t="s">
        <v>2426</v>
      </c>
      <c r="B11" s="917" t="s">
        <v>2675</v>
      </c>
    </row>
    <row r="12" spans="1:2" s="32" customFormat="1">
      <c r="A12" s="917" t="s">
        <v>2425</v>
      </c>
      <c r="B12" s="917" t="s">
        <v>2438</v>
      </c>
    </row>
    <row r="13" spans="1:2" s="32" customFormat="1">
      <c r="A13" s="917" t="s">
        <v>2340</v>
      </c>
      <c r="B13" s="917" t="s">
        <v>2675</v>
      </c>
    </row>
    <row r="14" spans="1:2" s="32" customFormat="1">
      <c r="A14" s="917" t="s">
        <v>2439</v>
      </c>
      <c r="B14" s="917" t="s">
        <v>2440</v>
      </c>
    </row>
    <row r="15" spans="1:2" s="32" customFormat="1">
      <c r="B15" s="276"/>
    </row>
    <row r="16" spans="1:2" s="32" customFormat="1" ht="17">
      <c r="A16" s="918" t="s">
        <v>2441</v>
      </c>
      <c r="B16" s="276"/>
    </row>
    <row r="17" spans="1:15" s="32" customFormat="1">
      <c r="A17" s="919" t="s">
        <v>2442</v>
      </c>
      <c r="B17" s="276"/>
    </row>
    <row r="18" spans="1:15" s="32" customFormat="1">
      <c r="A18" s="918" t="s">
        <v>2443</v>
      </c>
      <c r="B18" s="276"/>
    </row>
    <row r="19" spans="1:15" s="32" customFormat="1">
      <c r="A19" s="918" t="s">
        <v>2444</v>
      </c>
      <c r="B19" s="276"/>
    </row>
    <row r="20" spans="1:15" s="32" customFormat="1" ht="30.75" customHeight="1">
      <c r="A20" s="1764" t="s">
        <v>2445</v>
      </c>
      <c r="B20" s="1764"/>
      <c r="C20" s="1764"/>
      <c r="D20" s="1764"/>
      <c r="E20" s="1764"/>
      <c r="F20" s="1764"/>
      <c r="G20" s="1764"/>
      <c r="H20" s="1764"/>
      <c r="I20" s="918"/>
      <c r="J20" s="918"/>
      <c r="K20" s="918"/>
      <c r="L20" s="918"/>
      <c r="M20" s="918"/>
      <c r="N20" s="918"/>
      <c r="O20" s="918"/>
    </row>
    <row r="21" spans="1:15" s="32" customFormat="1">
      <c r="A21" s="918" t="s">
        <v>2446</v>
      </c>
      <c r="B21" s="276"/>
    </row>
    <row r="22" spans="1:15" s="32" customFormat="1">
      <c r="A22" s="918" t="s">
        <v>2447</v>
      </c>
      <c r="B22" s="276"/>
    </row>
    <row r="23" spans="1:15" s="32" customFormat="1">
      <c r="A23" s="918"/>
      <c r="B23" s="276"/>
    </row>
    <row r="24" spans="1:15" s="32" customFormat="1">
      <c r="A24" s="919" t="s">
        <v>2448</v>
      </c>
      <c r="B24" s="276"/>
    </row>
    <row r="25" spans="1:15" s="32" customFormat="1">
      <c r="A25" s="918" t="s">
        <v>2449</v>
      </c>
      <c r="B25" s="276"/>
    </row>
    <row r="26" spans="1:15" s="32" customFormat="1" ht="45" customHeight="1">
      <c r="A26" s="1764" t="s">
        <v>2450</v>
      </c>
      <c r="B26" s="1764"/>
      <c r="C26" s="1764"/>
      <c r="D26" s="1764"/>
      <c r="E26" s="1764"/>
      <c r="F26" s="1764"/>
      <c r="G26" s="1764"/>
    </row>
    <row r="27" spans="1:15" s="32" customFormat="1">
      <c r="A27" s="918" t="s">
        <v>2451</v>
      </c>
      <c r="B27" s="276"/>
    </row>
    <row r="28" spans="1:15" s="32" customFormat="1">
      <c r="A28" s="918" t="s">
        <v>2452</v>
      </c>
      <c r="B28" s="276"/>
    </row>
    <row r="29" spans="1:15">
      <c r="A29" s="918" t="s">
        <v>2453</v>
      </c>
    </row>
    <row r="30" spans="1:15" ht="45" customHeight="1">
      <c r="A30" s="1764" t="s">
        <v>2454</v>
      </c>
      <c r="B30" s="1764"/>
      <c r="C30" s="1764"/>
      <c r="D30" s="1764"/>
      <c r="E30" s="1764"/>
      <c r="F30" s="1764"/>
      <c r="G30" s="1764"/>
      <c r="H30" s="1764"/>
    </row>
    <row r="31" spans="1:15">
      <c r="A31" s="918"/>
    </row>
    <row r="32" spans="1:15">
      <c r="A32" s="919" t="s">
        <v>2455</v>
      </c>
    </row>
    <row r="33" spans="1:8" ht="30" customHeight="1">
      <c r="A33" s="1764" t="s">
        <v>2456</v>
      </c>
      <c r="B33" s="1764"/>
      <c r="C33" s="1764"/>
      <c r="D33" s="1764"/>
      <c r="E33" s="1764"/>
      <c r="F33" s="1764"/>
      <c r="G33" s="1764"/>
      <c r="H33" s="1764"/>
    </row>
    <row r="34" spans="1:8">
      <c r="A34" s="918"/>
    </row>
    <row r="35" spans="1:8">
      <c r="A35" s="919" t="s">
        <v>2457</v>
      </c>
    </row>
    <row r="36" spans="1:8" ht="45.75" customHeight="1">
      <c r="A36" s="1764" t="s">
        <v>2458</v>
      </c>
      <c r="B36" s="1764"/>
      <c r="C36" s="1764"/>
      <c r="D36" s="1764"/>
      <c r="E36" s="1764"/>
      <c r="F36" s="1764"/>
      <c r="G36" s="1764"/>
      <c r="H36" s="1764"/>
    </row>
    <row r="37" spans="1:8">
      <c r="A37" s="918"/>
      <c r="D37" s="26"/>
    </row>
    <row r="38" spans="1:8">
      <c r="A38" s="919" t="s">
        <v>2459</v>
      </c>
    </row>
    <row r="39" spans="1:8" ht="30" customHeight="1">
      <c r="A39" s="1764" t="s">
        <v>2460</v>
      </c>
      <c r="B39" s="1764"/>
      <c r="C39" s="1764"/>
      <c r="D39" s="1764"/>
      <c r="E39" s="1764"/>
      <c r="F39" s="1764"/>
      <c r="G39" s="1764"/>
      <c r="H39" s="1764"/>
    </row>
    <row r="40" spans="1:8">
      <c r="A40" s="918"/>
    </row>
    <row r="41" spans="1:8">
      <c r="A41" s="919" t="s">
        <v>2461</v>
      </c>
    </row>
    <row r="42" spans="1:8" ht="45" customHeight="1">
      <c r="A42" s="1764" t="s">
        <v>2462</v>
      </c>
      <c r="B42" s="1764"/>
      <c r="C42" s="1764"/>
      <c r="D42" s="1764"/>
      <c r="E42" s="1764"/>
      <c r="F42" s="1764"/>
      <c r="G42" s="1764"/>
      <c r="H42" s="1764"/>
    </row>
    <row r="43" spans="1:8">
      <c r="A43" s="918"/>
    </row>
    <row r="44" spans="1:8">
      <c r="A44" s="919" t="s">
        <v>2463</v>
      </c>
    </row>
    <row r="45" spans="1:8" ht="30" customHeight="1">
      <c r="A45" s="1764" t="s">
        <v>2464</v>
      </c>
      <c r="B45" s="1764"/>
      <c r="C45" s="1764"/>
      <c r="D45" s="1764"/>
      <c r="E45" s="1764"/>
      <c r="F45" s="1764"/>
      <c r="G45" s="1764"/>
      <c r="H45" s="1764"/>
    </row>
    <row r="46" spans="1:8">
      <c r="A46" s="918" t="s">
        <v>2465</v>
      </c>
    </row>
    <row r="47" spans="1:8">
      <c r="A47" s="918" t="s">
        <v>2466</v>
      </c>
    </row>
    <row r="48" spans="1:8">
      <c r="A48" s="918" t="s">
        <v>2467</v>
      </c>
    </row>
    <row r="49" spans="1:8">
      <c r="A49" s="918" t="s">
        <v>2468</v>
      </c>
    </row>
    <row r="50" spans="1:8">
      <c r="A50" s="918" t="s">
        <v>2469</v>
      </c>
    </row>
    <row r="51" spans="1:8">
      <c r="A51" s="918"/>
    </row>
    <row r="52" spans="1:8">
      <c r="A52" s="919" t="s">
        <v>2470</v>
      </c>
    </row>
    <row r="53" spans="1:8" ht="30" customHeight="1">
      <c r="A53" s="1764" t="s">
        <v>2471</v>
      </c>
      <c r="B53" s="1764"/>
      <c r="C53" s="1764"/>
      <c r="D53" s="1764"/>
      <c r="E53" s="1764"/>
      <c r="F53" s="1764"/>
      <c r="G53" s="1764"/>
      <c r="H53" s="1764"/>
    </row>
    <row r="54" spans="1:8">
      <c r="A54" s="918" t="s">
        <v>2472</v>
      </c>
    </row>
    <row r="55" spans="1:8">
      <c r="A55" s="918" t="s">
        <v>2473</v>
      </c>
    </row>
    <row r="56" spans="1:8">
      <c r="A56" s="918" t="s">
        <v>2474</v>
      </c>
    </row>
    <row r="57" spans="1:8">
      <c r="A57" s="918"/>
    </row>
    <row r="58" spans="1:8">
      <c r="A58" s="919" t="s">
        <v>2475</v>
      </c>
    </row>
    <row r="59" spans="1:8">
      <c r="A59" s="918" t="s">
        <v>2476</v>
      </c>
    </row>
    <row r="60" spans="1:8">
      <c r="A60" s="918"/>
    </row>
    <row r="61" spans="1:8">
      <c r="A61" s="919" t="s">
        <v>2477</v>
      </c>
    </row>
    <row r="62" spans="1:8" ht="30" customHeight="1">
      <c r="A62" s="1764" t="s">
        <v>2478</v>
      </c>
      <c r="B62" s="1764"/>
      <c r="C62" s="1764"/>
      <c r="D62" s="1764"/>
      <c r="E62" s="1764"/>
      <c r="F62" s="1764"/>
      <c r="G62" s="1764"/>
      <c r="H62" s="1764"/>
    </row>
    <row r="63" spans="1:8">
      <c r="A63" s="918" t="s">
        <v>2479</v>
      </c>
    </row>
    <row r="64" spans="1:8" ht="78" customHeight="1">
      <c r="A64" s="1764" t="s">
        <v>2480</v>
      </c>
      <c r="B64" s="1764"/>
      <c r="C64" s="1764"/>
      <c r="D64" s="1764"/>
      <c r="E64" s="1764"/>
      <c r="F64" s="1764"/>
      <c r="G64" s="1764"/>
      <c r="H64" s="1764"/>
    </row>
    <row r="65" spans="1:8" ht="14.25" customHeight="1">
      <c r="A65" s="894"/>
      <c r="B65" s="894"/>
      <c r="C65" s="894"/>
      <c r="D65" s="894"/>
      <c r="E65" s="894"/>
      <c r="F65" s="894"/>
      <c r="G65" s="894"/>
      <c r="H65" s="894"/>
    </row>
    <row r="66" spans="1:8">
      <c r="A66" s="919" t="s">
        <v>2481</v>
      </c>
    </row>
    <row r="67" spans="1:8">
      <c r="A67" s="1045" t="s">
        <v>2671</v>
      </c>
      <c r="B67" s="164"/>
      <c r="C67" s="25"/>
      <c r="D67" s="25"/>
      <c r="E67" s="25"/>
      <c r="F67" s="25"/>
      <c r="G67" s="25"/>
      <c r="H67" s="25"/>
    </row>
    <row r="68" spans="1:8">
      <c r="A68" s="1045" t="s">
        <v>2482</v>
      </c>
      <c r="B68" s="164"/>
      <c r="C68" s="25"/>
      <c r="D68" s="25"/>
      <c r="E68" s="25"/>
      <c r="F68" s="25"/>
      <c r="G68" s="25"/>
      <c r="H68" s="25"/>
    </row>
    <row r="69" spans="1:8" ht="45" customHeight="1">
      <c r="A69" s="1785" t="s">
        <v>2672</v>
      </c>
      <c r="B69" s="1785"/>
      <c r="C69" s="1785"/>
      <c r="D69" s="1785"/>
      <c r="E69" s="1785"/>
      <c r="F69" s="1785"/>
      <c r="G69" s="1785"/>
      <c r="H69" s="1785"/>
    </row>
    <row r="70" spans="1:8">
      <c r="A70" s="1045" t="s">
        <v>2673</v>
      </c>
      <c r="B70" s="164"/>
      <c r="C70" s="25"/>
      <c r="D70" s="25"/>
      <c r="E70" s="25"/>
      <c r="F70" s="25"/>
      <c r="G70" s="25"/>
      <c r="H70" s="25"/>
    </row>
    <row r="71" spans="1:8">
      <c r="A71" s="1045" t="s">
        <v>2674</v>
      </c>
      <c r="B71" s="164"/>
      <c r="C71" s="25"/>
      <c r="D71" s="25"/>
      <c r="E71" s="25"/>
      <c r="F71" s="25"/>
      <c r="G71" s="25"/>
      <c r="H71" s="25"/>
    </row>
  </sheetData>
  <mergeCells count="13">
    <mergeCell ref="A69:H69"/>
    <mergeCell ref="A39:H39"/>
    <mergeCell ref="A42:H42"/>
    <mergeCell ref="A45:H45"/>
    <mergeCell ref="A53:H53"/>
    <mergeCell ref="A62:H62"/>
    <mergeCell ref="A64:H64"/>
    <mergeCell ref="A36:H36"/>
    <mergeCell ref="A1:B1"/>
    <mergeCell ref="A20:H20"/>
    <mergeCell ref="A26:G26"/>
    <mergeCell ref="A30:H30"/>
    <mergeCell ref="A33:H33"/>
  </mergeCells>
  <pageMargins left="0.7" right="0.7" top="0.75" bottom="0.75" header="0.3" footer="0.3"/>
  <pageSetup scale="90"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dimension ref="A1:A9"/>
  <sheetViews>
    <sheetView workbookViewId="0">
      <selection activeCell="A2" sqref="A2"/>
    </sheetView>
  </sheetViews>
  <sheetFormatPr baseColWidth="10" defaultColWidth="8.83203125" defaultRowHeight="15"/>
  <cols>
    <col min="1" max="1" width="109.83203125" customWidth="1"/>
  </cols>
  <sheetData>
    <row r="1" spans="1:1" ht="19">
      <c r="A1" s="920" t="s">
        <v>2483</v>
      </c>
    </row>
    <row r="2" spans="1:1" ht="50">
      <c r="A2" s="26" t="s">
        <v>2679</v>
      </c>
    </row>
    <row r="3" spans="1:1">
      <c r="A3" s="26"/>
    </row>
    <row r="4" spans="1:1" ht="18">
      <c r="A4" s="26" t="s">
        <v>2484</v>
      </c>
    </row>
    <row r="5" spans="1:1" ht="16">
      <c r="A5" s="26" t="s">
        <v>2485</v>
      </c>
    </row>
    <row r="6" spans="1:1" ht="34">
      <c r="A6" s="26" t="s">
        <v>2486</v>
      </c>
    </row>
    <row r="7" spans="1:1" ht="18">
      <c r="A7" s="26" t="s">
        <v>2487</v>
      </c>
    </row>
    <row r="9" spans="1:1" ht="64.5" customHeight="1"/>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381000</xdr:colOff>
                <xdr:row>8</xdr:row>
                <xdr:rowOff>63500</xdr:rowOff>
              </from>
              <to>
                <xdr:col>0</xdr:col>
                <xdr:colOff>1295400</xdr:colOff>
                <xdr:row>8</xdr:row>
                <xdr:rowOff>749300</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pageSetUpPr fitToPage="1"/>
  </sheetPr>
  <dimension ref="A1:B7"/>
  <sheetViews>
    <sheetView workbookViewId="0">
      <selection activeCell="B7" sqref="B7"/>
    </sheetView>
  </sheetViews>
  <sheetFormatPr baseColWidth="10" defaultColWidth="8.83203125" defaultRowHeight="15"/>
  <cols>
    <col min="1" max="1" width="14.83203125" style="26" customWidth="1"/>
    <col min="2" max="2" width="93.1640625" style="26" customWidth="1"/>
  </cols>
  <sheetData>
    <row r="1" spans="1:2" ht="24.75" customHeight="1">
      <c r="A1" s="1786" t="s">
        <v>2488</v>
      </c>
      <c r="B1" s="1786"/>
    </row>
    <row r="2" spans="1:2" ht="16">
      <c r="A2" s="921" t="s">
        <v>2489</v>
      </c>
      <c r="B2" s="921" t="s">
        <v>2490</v>
      </c>
    </row>
    <row r="3" spans="1:2" ht="36.75" customHeight="1">
      <c r="A3" s="921" t="s">
        <v>2491</v>
      </c>
      <c r="B3" s="921" t="s">
        <v>2492</v>
      </c>
    </row>
    <row r="4" spans="1:2" ht="63" customHeight="1">
      <c r="A4" s="921" t="s">
        <v>2493</v>
      </c>
      <c r="B4" s="921" t="s">
        <v>2494</v>
      </c>
    </row>
    <row r="5" spans="1:2" ht="64">
      <c r="A5" s="921" t="s">
        <v>2495</v>
      </c>
      <c r="B5" s="921" t="s">
        <v>2496</v>
      </c>
    </row>
    <row r="6" spans="1:2" ht="64">
      <c r="A6" s="921" t="s">
        <v>2497</v>
      </c>
      <c r="B6" s="921" t="s">
        <v>2680</v>
      </c>
    </row>
    <row r="7" spans="1:2" ht="128">
      <c r="A7" s="921" t="s">
        <v>2498</v>
      </c>
      <c r="B7" s="921" t="s">
        <v>2499</v>
      </c>
    </row>
  </sheetData>
  <mergeCells count="1">
    <mergeCell ref="A1:B1"/>
  </mergeCells>
  <pageMargins left="0.7" right="0.7" top="0.75" bottom="0.75" header="0.3" footer="0.3"/>
  <pageSetup scale="83" fitToHeight="0"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RUC Calculations FY19v21</vt:lpstr>
      <vt:lpstr>2019 MILCON Inflation Table</vt:lpstr>
      <vt:lpstr>Mil Cost Premiums for RUCs</vt:lpstr>
      <vt:lpstr>M&amp;S Selection Business Rule</vt:lpstr>
      <vt:lpstr>2019 Elevator Rule</vt:lpstr>
      <vt:lpstr>Overhead Crane Business Rule</vt:lpstr>
      <vt:lpstr>Fire Sprinkler Business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'2019 MILCON Inflation Table'!Print_Area</vt:lpstr>
      <vt:lpstr>'Mil Cost Premiums for RUCs'!Print_Area</vt:lpstr>
      <vt:lpstr>'RUC Calculations FY19v21'!Print_Area</vt:lpstr>
      <vt:lpstr>'2019 Elevator Rule'!Print_Titles</vt:lpstr>
      <vt:lpstr>PRV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Calese</dc:creator>
  <cp:lastModifiedBy>Microsoft Office User</cp:lastModifiedBy>
  <cp:lastPrinted>2020-01-14T17:54:55Z</cp:lastPrinted>
  <dcterms:created xsi:type="dcterms:W3CDTF">2018-07-06T18:00:32Z</dcterms:created>
  <dcterms:modified xsi:type="dcterms:W3CDTF">2020-01-23T15:08:57Z</dcterms:modified>
</cp:coreProperties>
</file>